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5360" windowHeight="7755"/>
  </bookViews>
  <sheets>
    <sheet name="Euro 2016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B16" i="2" l="1"/>
  <c r="U37" i="2" l="1"/>
  <c r="U39" i="2"/>
  <c r="X25" i="2"/>
  <c r="X27" i="2"/>
  <c r="U13" i="2"/>
  <c r="U15" i="2"/>
  <c r="AF17" i="2" l="1"/>
  <c r="AK5" i="2"/>
  <c r="AL5" i="2"/>
  <c r="AM5" i="2"/>
  <c r="AE4" i="2"/>
  <c r="AN5" i="2" l="1"/>
  <c r="E14" i="2"/>
  <c r="E13" i="2"/>
  <c r="E12" i="2"/>
  <c r="E10" i="2"/>
  <c r="E9" i="2"/>
  <c r="B13" i="2"/>
  <c r="B11" i="2"/>
  <c r="B10" i="2"/>
  <c r="B17" i="2"/>
  <c r="B19" i="2"/>
  <c r="E44" i="2"/>
  <c r="F44" i="2" s="1"/>
  <c r="AQ37" i="2"/>
  <c r="AM37" i="2"/>
  <c r="AL37" i="2"/>
  <c r="AK37" i="2"/>
  <c r="E43" i="2"/>
  <c r="F43" i="2" s="1"/>
  <c r="B43" i="2"/>
  <c r="AQ36" i="2"/>
  <c r="AM36" i="2"/>
  <c r="AL36" i="2"/>
  <c r="AK36" i="2"/>
  <c r="F42" i="2"/>
  <c r="E42" i="2"/>
  <c r="AQ35" i="2"/>
  <c r="AM35" i="2"/>
  <c r="AL35" i="2"/>
  <c r="AK35" i="2"/>
  <c r="B41" i="2"/>
  <c r="F41" i="2" s="1"/>
  <c r="AQ34" i="2"/>
  <c r="AM34" i="2"/>
  <c r="AL34" i="2"/>
  <c r="AK34" i="2"/>
  <c r="E40" i="2"/>
  <c r="B40" i="2"/>
  <c r="F40" i="2" s="1"/>
  <c r="E39" i="2"/>
  <c r="F39" i="2" s="1"/>
  <c r="E38" i="2"/>
  <c r="F38" i="2" s="1"/>
  <c r="AQ31" i="2"/>
  <c r="AM31" i="2"/>
  <c r="AL31" i="2"/>
  <c r="AK31" i="2"/>
  <c r="E37" i="2"/>
  <c r="B37" i="2"/>
  <c r="F37" i="2" s="1"/>
  <c r="AQ30" i="2"/>
  <c r="AM30" i="2"/>
  <c r="AL30" i="2"/>
  <c r="AK30" i="2"/>
  <c r="E36" i="2"/>
  <c r="F36" i="2" s="1"/>
  <c r="AQ29" i="2"/>
  <c r="AM29" i="2"/>
  <c r="AL29" i="2"/>
  <c r="AK29" i="2"/>
  <c r="F35" i="2"/>
  <c r="B35" i="2"/>
  <c r="AQ28" i="2"/>
  <c r="AM28" i="2"/>
  <c r="AL28" i="2"/>
  <c r="AK28" i="2"/>
  <c r="E34" i="2"/>
  <c r="B34" i="2"/>
  <c r="F33" i="2"/>
  <c r="E33" i="2"/>
  <c r="E32" i="2"/>
  <c r="F32" i="2" s="1"/>
  <c r="AQ25" i="2"/>
  <c r="AM25" i="2"/>
  <c r="AL25" i="2"/>
  <c r="AK25" i="2"/>
  <c r="E31" i="2"/>
  <c r="B31" i="2"/>
  <c r="F31" i="2" s="1"/>
  <c r="AQ24" i="2"/>
  <c r="AM24" i="2"/>
  <c r="AL24" i="2"/>
  <c r="AK24" i="2"/>
  <c r="E30" i="2"/>
  <c r="F30" i="2" s="1"/>
  <c r="AQ23" i="2"/>
  <c r="AM23" i="2"/>
  <c r="AL23" i="2"/>
  <c r="AK23" i="2"/>
  <c r="F29" i="2"/>
  <c r="B29" i="2"/>
  <c r="AQ22" i="2"/>
  <c r="AM22" i="2"/>
  <c r="AL22" i="2"/>
  <c r="AK22" i="2"/>
  <c r="E28" i="2"/>
  <c r="F28" i="2" s="1"/>
  <c r="B28" i="2"/>
  <c r="E27" i="2"/>
  <c r="F27" i="2" s="1"/>
  <c r="E26" i="2"/>
  <c r="F26" i="2" s="1"/>
  <c r="AQ19" i="2"/>
  <c r="AM19" i="2"/>
  <c r="AL19" i="2"/>
  <c r="AK19" i="2"/>
  <c r="E25" i="2"/>
  <c r="B25" i="2"/>
  <c r="F25" i="2" s="1"/>
  <c r="AQ18" i="2"/>
  <c r="AM18" i="2"/>
  <c r="AL18" i="2"/>
  <c r="AK18" i="2"/>
  <c r="E24" i="2"/>
  <c r="F24" i="2" s="1"/>
  <c r="AQ17" i="2"/>
  <c r="AM17" i="2"/>
  <c r="AL17" i="2"/>
  <c r="AK17" i="2"/>
  <c r="B23" i="2"/>
  <c r="F23" i="2" s="1"/>
  <c r="AQ16" i="2"/>
  <c r="AM16" i="2"/>
  <c r="AL16" i="2"/>
  <c r="AK16" i="2"/>
  <c r="E22" i="2"/>
  <c r="B22" i="2"/>
  <c r="F21" i="2"/>
  <c r="E21" i="2"/>
  <c r="E20" i="2"/>
  <c r="F20" i="2" s="1"/>
  <c r="AQ13" i="2"/>
  <c r="AM13" i="2"/>
  <c r="AL13" i="2"/>
  <c r="AK13" i="2"/>
  <c r="E19" i="2"/>
  <c r="AQ12" i="2"/>
  <c r="AM12" i="2"/>
  <c r="AL12" i="2"/>
  <c r="AK12" i="2"/>
  <c r="E18" i="2"/>
  <c r="F18" i="2" s="1"/>
  <c r="AQ11" i="2"/>
  <c r="AM11" i="2"/>
  <c r="AL11" i="2"/>
  <c r="AK11" i="2"/>
  <c r="F17" i="2"/>
  <c r="AQ10" i="2"/>
  <c r="AM10" i="2"/>
  <c r="AL10" i="2"/>
  <c r="AK10" i="2"/>
  <c r="E15" i="2"/>
  <c r="F15" i="2" s="1"/>
  <c r="F14" i="2"/>
  <c r="AQ7" i="2"/>
  <c r="AM7" i="2"/>
  <c r="AL7" i="2"/>
  <c r="AK7" i="2"/>
  <c r="F13" i="2"/>
  <c r="AQ6" i="2"/>
  <c r="AM6" i="2"/>
  <c r="AL6" i="2"/>
  <c r="AK6" i="2"/>
  <c r="F12" i="2"/>
  <c r="AQ5" i="2"/>
  <c r="F11" i="2"/>
  <c r="AQ4" i="2"/>
  <c r="AM4" i="2"/>
  <c r="AL4" i="2"/>
  <c r="AK4" i="2"/>
  <c r="F10" i="2"/>
  <c r="F9" i="2"/>
  <c r="F22" i="2" l="1"/>
  <c r="AO16" i="2" s="1"/>
  <c r="F34" i="2"/>
  <c r="AO29" i="2" s="1"/>
  <c r="F19" i="2"/>
  <c r="F16" i="2"/>
  <c r="AO5" i="2"/>
  <c r="AP5" i="2" s="1"/>
  <c r="AN28" i="2"/>
  <c r="AN29" i="2"/>
  <c r="AN6" i="2"/>
  <c r="AN17" i="2"/>
  <c r="AN34" i="2"/>
  <c r="AN36" i="2"/>
  <c r="AN37" i="2"/>
  <c r="AO22" i="2"/>
  <c r="AN10" i="2"/>
  <c r="AN11" i="2"/>
  <c r="AN13" i="2"/>
  <c r="AN16" i="2"/>
  <c r="AN22" i="2"/>
  <c r="AO4" i="2"/>
  <c r="AN4" i="2"/>
  <c r="AN7" i="2"/>
  <c r="AN12" i="2"/>
  <c r="AN18" i="2"/>
  <c r="AN19" i="2"/>
  <c r="AN23" i="2"/>
  <c r="AN25" i="2"/>
  <c r="AN30" i="2"/>
  <c r="AN31" i="2"/>
  <c r="AN35" i="2"/>
  <c r="AO7" i="2"/>
  <c r="AO6" i="2"/>
  <c r="AO25" i="2"/>
  <c r="AO24" i="2"/>
  <c r="AO23" i="2"/>
  <c r="AO35" i="2"/>
  <c r="AO34" i="2"/>
  <c r="AN24" i="2"/>
  <c r="AO28" i="2"/>
  <c r="AO31" i="2"/>
  <c r="AO36" i="2"/>
  <c r="AO37" i="2"/>
  <c r="AP35" i="2" l="1"/>
  <c r="AO18" i="2"/>
  <c r="AP18" i="2" s="1"/>
  <c r="AO19" i="2"/>
  <c r="AP19" i="2" s="1"/>
  <c r="AO10" i="2"/>
  <c r="AP10" i="2" s="1"/>
  <c r="AO17" i="2"/>
  <c r="AP17" i="2" s="1"/>
  <c r="AO30" i="2"/>
  <c r="AP30" i="2" s="1"/>
  <c r="AO11" i="2"/>
  <c r="AP11" i="2" s="1"/>
  <c r="AO13" i="2"/>
  <c r="AP13" i="2" s="1"/>
  <c r="AO12" i="2"/>
  <c r="AP12" i="2" s="1"/>
  <c r="AP37" i="2"/>
  <c r="AP28" i="2"/>
  <c r="AP34" i="2"/>
  <c r="AP6" i="2"/>
  <c r="AP22" i="2"/>
  <c r="AP25" i="2"/>
  <c r="AP29" i="2"/>
  <c r="AP31" i="2"/>
  <c r="AP16" i="2"/>
  <c r="AP36" i="2"/>
  <c r="AP7" i="2"/>
  <c r="AP4" i="2"/>
  <c r="AP23" i="2"/>
  <c r="AP24" i="2"/>
  <c r="I11" i="2" l="1"/>
  <c r="O4" i="2" s="1"/>
  <c r="I40" i="2"/>
  <c r="O22" i="2" s="1"/>
  <c r="I43" i="2"/>
  <c r="J43" i="2" s="1"/>
  <c r="I19" i="2"/>
  <c r="K19" i="2" s="1"/>
  <c r="I13" i="2"/>
  <c r="K13" i="2" s="1"/>
  <c r="I35" i="2"/>
  <c r="O24" i="2" s="1"/>
  <c r="I37" i="2"/>
  <c r="J37" i="2" s="1"/>
  <c r="I42" i="2"/>
  <c r="AH10" i="2" s="1"/>
  <c r="I34" i="2"/>
  <c r="O34" i="2" s="1"/>
  <c r="I25" i="2"/>
  <c r="K25" i="2" s="1"/>
  <c r="I41" i="2"/>
  <c r="I23" i="2"/>
  <c r="O6" i="2" s="1"/>
  <c r="I16" i="2"/>
  <c r="I36" i="2"/>
  <c r="I12" i="2"/>
  <c r="M12" i="2" s="1"/>
  <c r="AE5" i="2" s="1"/>
  <c r="I10" i="2"/>
  <c r="O40" i="2" s="1"/>
  <c r="I18" i="2"/>
  <c r="I17" i="2"/>
  <c r="I24" i="2"/>
  <c r="AH7" i="2" s="1"/>
  <c r="I22" i="2"/>
  <c r="I29" i="2"/>
  <c r="O36" i="2" s="1"/>
  <c r="R45" i="2"/>
  <c r="I31" i="2"/>
  <c r="I30" i="2"/>
  <c r="R43" i="2"/>
  <c r="I28" i="2"/>
  <c r="O10" i="2" s="1"/>
  <c r="M23" i="2" l="1"/>
  <c r="M19" i="2"/>
  <c r="M22" i="2"/>
  <c r="O28" i="2"/>
  <c r="L17" i="2"/>
  <c r="O46" i="2"/>
  <c r="K16" i="2"/>
  <c r="O16" i="2"/>
  <c r="K40" i="2"/>
  <c r="M41" i="2"/>
  <c r="O48" i="2"/>
  <c r="L43" i="2"/>
  <c r="J40" i="2"/>
  <c r="L40" i="2"/>
  <c r="M40" i="2"/>
  <c r="M43" i="2"/>
  <c r="K43" i="2"/>
  <c r="M35" i="2"/>
  <c r="AH5" i="2"/>
  <c r="AC5" i="2"/>
  <c r="M37" i="2"/>
  <c r="J16" i="2"/>
  <c r="L19" i="2"/>
  <c r="J19" i="2"/>
  <c r="J36" i="2"/>
  <c r="AD9" i="2" s="1"/>
  <c r="AH9" i="2"/>
  <c r="AC8" i="2"/>
  <c r="AH8" i="2"/>
  <c r="J18" i="2"/>
  <c r="AD6" i="2" s="1"/>
  <c r="AH6" i="2"/>
  <c r="M13" i="2"/>
  <c r="L34" i="2"/>
  <c r="J41" i="2"/>
  <c r="L37" i="2"/>
  <c r="K18" i="2"/>
  <c r="AF6" i="2" s="1"/>
  <c r="J13" i="2"/>
  <c r="K34" i="2"/>
  <c r="J35" i="2"/>
  <c r="M25" i="2"/>
  <c r="K37" i="2"/>
  <c r="L13" i="2"/>
  <c r="J34" i="2"/>
  <c r="M34" i="2"/>
  <c r="L36" i="2"/>
  <c r="AC9" i="2"/>
  <c r="J42" i="2"/>
  <c r="AD10" i="2" s="1"/>
  <c r="AC10" i="2"/>
  <c r="K35" i="2"/>
  <c r="L35" i="2"/>
  <c r="K36" i="2"/>
  <c r="AF9" i="2" s="1"/>
  <c r="L25" i="2"/>
  <c r="J23" i="2"/>
  <c r="M24" i="2"/>
  <c r="AE7" i="2" s="1"/>
  <c r="AC7" i="2"/>
  <c r="M18" i="2"/>
  <c r="AE6" i="2" s="1"/>
  <c r="AC6" i="2"/>
  <c r="K12" i="2"/>
  <c r="AF5" i="2" s="1"/>
  <c r="K29" i="2"/>
  <c r="K17" i="2"/>
  <c r="J10" i="2"/>
  <c r="L42" i="2"/>
  <c r="M36" i="2"/>
  <c r="AE9" i="2" s="1"/>
  <c r="M17" i="2"/>
  <c r="J25" i="2"/>
  <c r="L23" i="2"/>
  <c r="K23" i="2"/>
  <c r="L22" i="2"/>
  <c r="L16" i="2"/>
  <c r="L41" i="2"/>
  <c r="R7" i="2"/>
  <c r="M42" i="2"/>
  <c r="AE10" i="2" s="1"/>
  <c r="K42" i="2"/>
  <c r="AF10" i="2" s="1"/>
  <c r="M29" i="2"/>
  <c r="R19" i="2"/>
  <c r="K41" i="2"/>
  <c r="R21" i="2"/>
  <c r="L18" i="2"/>
  <c r="M16" i="2"/>
  <c r="J24" i="2"/>
  <c r="AD7" i="2" s="1"/>
  <c r="J17" i="2"/>
  <c r="J12" i="2"/>
  <c r="AD5" i="2" s="1"/>
  <c r="AG5" i="2" s="1"/>
  <c r="L12" i="2"/>
  <c r="K10" i="2"/>
  <c r="M10" i="2"/>
  <c r="L10" i="2"/>
  <c r="L11" i="2"/>
  <c r="M11" i="2"/>
  <c r="J11" i="2"/>
  <c r="K11" i="2"/>
  <c r="K24" i="2"/>
  <c r="AF7" i="2" s="1"/>
  <c r="L24" i="2"/>
  <c r="J22" i="2"/>
  <c r="K22" i="2"/>
  <c r="L29" i="2"/>
  <c r="J29" i="2"/>
  <c r="L31" i="2"/>
  <c r="J31" i="2"/>
  <c r="K31" i="2"/>
  <c r="M31" i="2"/>
  <c r="R33" i="2"/>
  <c r="L28" i="2"/>
  <c r="J28" i="2"/>
  <c r="K28" i="2"/>
  <c r="M28" i="2"/>
  <c r="M30" i="2"/>
  <c r="AE8" i="2" s="1"/>
  <c r="K30" i="2"/>
  <c r="AF8" i="2" s="1"/>
  <c r="L30" i="2"/>
  <c r="J30" i="2"/>
  <c r="AD8" i="2" s="1"/>
  <c r="AG8" i="2" l="1"/>
  <c r="AG10" i="2"/>
  <c r="AG9" i="2"/>
  <c r="AG7" i="2"/>
  <c r="AG6" i="2"/>
  <c r="AD18" i="2" l="1"/>
  <c r="AC18" i="2" s="1"/>
  <c r="AD23" i="2"/>
  <c r="AC23" i="2" s="1"/>
  <c r="AD21" i="2"/>
  <c r="AC21" i="2" s="1"/>
  <c r="AD22" i="2"/>
  <c r="AC22" i="2" s="1"/>
  <c r="AD20" i="2"/>
  <c r="AC20" i="2" s="1"/>
  <c r="AD19" i="2"/>
  <c r="AC19" i="2" s="1"/>
  <c r="AR49" i="2" l="1"/>
  <c r="AR47" i="2"/>
  <c r="AR46" i="2"/>
  <c r="AR48" i="2"/>
  <c r="AR44" i="2"/>
  <c r="AR45" i="2"/>
  <c r="AG18" i="2"/>
  <c r="AE18" i="2"/>
  <c r="AF18" i="2"/>
  <c r="AE20" i="2"/>
  <c r="AG20" i="2"/>
  <c r="AF20" i="2"/>
  <c r="AE21" i="2"/>
  <c r="AF21" i="2"/>
  <c r="AG21" i="2"/>
  <c r="AE19" i="2"/>
  <c r="AF19" i="2"/>
  <c r="AG19" i="2"/>
  <c r="AE22" i="2"/>
  <c r="AG22" i="2"/>
  <c r="AF22" i="2"/>
  <c r="AE23" i="2"/>
  <c r="AF23" i="2"/>
  <c r="AG23" i="2"/>
  <c r="AR52" i="2" l="1"/>
  <c r="AL61" i="2" s="1"/>
  <c r="AO61" i="2" l="1"/>
  <c r="AO62" i="2" s="1"/>
  <c r="O30" i="2" s="1"/>
  <c r="R31" i="2" s="1"/>
  <c r="AM61" i="2"/>
  <c r="AM62" i="2" s="1"/>
  <c r="O42" i="2" s="1"/>
  <c r="AP61" i="2"/>
  <c r="AP62" i="2" s="1"/>
  <c r="O12" i="2" s="1"/>
  <c r="R9" i="2" s="1"/>
  <c r="AN61" i="2"/>
  <c r="AN62" i="2" s="1"/>
  <c r="O18" i="2" s="1"/>
</calcChain>
</file>

<file path=xl/sharedStrings.xml><?xml version="1.0" encoding="utf-8"?>
<sst xmlns="http://schemas.openxmlformats.org/spreadsheetml/2006/main" count="226" uniqueCount="76">
  <si>
    <t>Matchs</t>
  </si>
  <si>
    <t>Pays</t>
  </si>
  <si>
    <t>Résultat</t>
  </si>
  <si>
    <t>Points</t>
  </si>
  <si>
    <t>BP</t>
  </si>
  <si>
    <t>BC</t>
  </si>
  <si>
    <t>Total</t>
  </si>
  <si>
    <t>Groupes</t>
  </si>
  <si>
    <t>Vainqueur</t>
  </si>
  <si>
    <t>Résultats des Poules</t>
  </si>
  <si>
    <t>⅛ de Finale</t>
  </si>
  <si>
    <t>¼ de Finale</t>
  </si>
  <si>
    <t>A</t>
  </si>
  <si>
    <t>+/-</t>
  </si>
  <si>
    <t>Points en tout</t>
  </si>
  <si>
    <t>B</t>
  </si>
  <si>
    <t>C</t>
  </si>
  <si>
    <t>D</t>
  </si>
  <si>
    <t>E</t>
  </si>
  <si>
    <t>F</t>
  </si>
  <si>
    <t xml:space="preserve"> </t>
  </si>
  <si>
    <t>Troisièmes des 6 Groupes</t>
  </si>
  <si>
    <t>Équipes</t>
  </si>
  <si>
    <t>Rang</t>
  </si>
  <si>
    <t>Groupe</t>
  </si>
  <si>
    <t>4 Meilleurs Troisièmes Qualifiés</t>
  </si>
  <si>
    <t>Si les 4 meilleurs sont :</t>
  </si>
  <si>
    <t>ABCD</t>
  </si>
  <si>
    <t>ABCE</t>
  </si>
  <si>
    <t>ABCF</t>
  </si>
  <si>
    <t>ABDE</t>
  </si>
  <si>
    <t>ABDF</t>
  </si>
  <si>
    <t>ABEF</t>
  </si>
  <si>
    <t>ACDE</t>
  </si>
  <si>
    <t>ACDF</t>
  </si>
  <si>
    <t>ACEF</t>
  </si>
  <si>
    <t>ADEF</t>
  </si>
  <si>
    <t>BCDF</t>
  </si>
  <si>
    <t>BCDE</t>
  </si>
  <si>
    <t>BCEF</t>
  </si>
  <si>
    <t>BDEF</t>
  </si>
  <si>
    <t>CDEF</t>
  </si>
  <si>
    <t>1A joue contre le 3e du groupe :</t>
  </si>
  <si>
    <t>1B joue contre le 3e du groupe :</t>
  </si>
  <si>
    <t>1C joue contre le 3e du groupe :</t>
  </si>
  <si>
    <t>1D joue contre le 3e du groupe :</t>
  </si>
  <si>
    <t>4 Meilleurs</t>
  </si>
  <si>
    <t>½ Finale</t>
  </si>
  <si>
    <t>Pos.</t>
  </si>
  <si>
    <t>Finale</t>
  </si>
  <si>
    <t>http://icons.yootheme.com/</t>
  </si>
  <si>
    <t>Sponsors Officiels de l'Euro 2016</t>
  </si>
  <si>
    <t>France</t>
  </si>
  <si>
    <t>Albanie</t>
  </si>
  <si>
    <t>Angleterre</t>
  </si>
  <si>
    <t>P. Galles</t>
  </si>
  <si>
    <t>Allemagne</t>
  </si>
  <si>
    <t>Irlande N.</t>
  </si>
  <si>
    <t>Espagne</t>
  </si>
  <si>
    <t>Turquie</t>
  </si>
  <si>
    <t>Belgique</t>
  </si>
  <si>
    <t>Irlande</t>
  </si>
  <si>
    <t>Portugal</t>
  </si>
  <si>
    <t>Islande</t>
  </si>
  <si>
    <t>Suisse</t>
  </si>
  <si>
    <t>Roumanie</t>
  </si>
  <si>
    <t>Slovaquie</t>
  </si>
  <si>
    <t>Russie</t>
  </si>
  <si>
    <t>Pologne</t>
  </si>
  <si>
    <t>Ukraine</t>
  </si>
  <si>
    <t>R. Tcheq.</t>
  </si>
  <si>
    <t>Croatie</t>
  </si>
  <si>
    <t>Suède</t>
  </si>
  <si>
    <t>Italie</t>
  </si>
  <si>
    <t>Hongrie</t>
  </si>
  <si>
    <t>Autriche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</si>
</sst>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7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0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0" tint="-0.249977111117893"/>
      <name val="Verdana"/>
      <family val="2"/>
    </font>
    <font>
      <u/>
      <sz val="11"/>
      <color theme="0" tint="-0.249977111117893"/>
      <name val="Calibri"/>
      <family val="2"/>
      <scheme val="minor"/>
    </font>
    <font>
      <u/>
      <sz val="11"/>
      <color theme="1"/>
      <name val="Verdana"/>
      <family val="2"/>
    </font>
    <font>
      <sz val="11"/>
      <color theme="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80FF8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7F00FF"/>
        <bgColor indexed="64"/>
      </patternFill>
    </fill>
    <fill>
      <patternFill patternType="solid">
        <fgColor rgb="FFFFC040"/>
        <bgColor indexed="64"/>
      </patternFill>
    </fill>
    <fill>
      <patternFill patternType="solid">
        <fgColor rgb="FFC040FF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11" xfId="0" quotePrefix="1" applyFont="1" applyFill="1" applyBorder="1" applyAlignment="1">
      <alignment horizontal="center" vertical="center"/>
    </xf>
    <xf numFmtId="0" fontId="1" fillId="5" borderId="0" xfId="0" quotePrefix="1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19" xfId="0" quotePrefix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2" xfId="0" quotePrefix="1" applyFont="1" applyFill="1" applyBorder="1" applyAlignment="1">
      <alignment horizontal="center" vertical="center"/>
    </xf>
    <xf numFmtId="0" fontId="1" fillId="6" borderId="14" xfId="0" quotePrefix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6" borderId="12" xfId="0" quotePrefix="1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13" xfId="0" quotePrefix="1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4" xfId="0" quotePrefix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11" xfId="0" quotePrefix="1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12" xfId="0" quotePrefix="1" applyFont="1" applyFill="1" applyBorder="1" applyAlignment="1">
      <alignment horizontal="center" vertical="center"/>
    </xf>
    <xf numFmtId="0" fontId="1" fillId="8" borderId="14" xfId="0" quotePrefix="1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12" xfId="0" quotePrefix="1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16" borderId="53" xfId="0" applyFont="1" applyFill="1" applyBorder="1" applyAlignment="1">
      <alignment horizontal="center" vertical="center"/>
    </xf>
    <xf numFmtId="0" fontId="1" fillId="16" borderId="41" xfId="0" applyFont="1" applyFill="1" applyBorder="1" applyAlignment="1">
      <alignment horizontal="center" vertical="center"/>
    </xf>
    <xf numFmtId="0" fontId="1" fillId="16" borderId="20" xfId="0" quotePrefix="1" applyFont="1" applyFill="1" applyBorder="1" applyAlignment="1">
      <alignment horizontal="center" vertical="center"/>
    </xf>
    <xf numFmtId="0" fontId="1" fillId="16" borderId="20" xfId="0" applyFont="1" applyFill="1" applyBorder="1" applyAlignment="1">
      <alignment horizontal="center" vertical="center"/>
    </xf>
    <xf numFmtId="0" fontId="1" fillId="16" borderId="21" xfId="0" applyFont="1" applyFill="1" applyBorder="1" applyAlignment="1">
      <alignment horizontal="center" vertical="center"/>
    </xf>
    <xf numFmtId="0" fontId="1" fillId="9" borderId="13" xfId="0" quotePrefix="1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9" borderId="4" xfId="0" quotePrefix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16" borderId="45" xfId="0" applyFont="1" applyFill="1" applyBorder="1" applyAlignment="1">
      <alignment horizontal="center" vertical="center"/>
    </xf>
    <xf numFmtId="0" fontId="1" fillId="16" borderId="31" xfId="0" applyFont="1" applyFill="1" applyBorder="1" applyAlignment="1">
      <alignment horizontal="center" vertical="center"/>
    </xf>
    <xf numFmtId="0" fontId="1" fillId="16" borderId="2" xfId="0" quotePrefix="1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12" borderId="24" xfId="0" applyFont="1" applyFill="1" applyBorder="1" applyAlignment="1">
      <alignment horizontal="center" vertical="center"/>
    </xf>
    <xf numFmtId="0" fontId="1" fillId="12" borderId="20" xfId="0" applyFont="1" applyFill="1" applyBorder="1" applyAlignment="1">
      <alignment horizontal="center" vertical="center"/>
    </xf>
    <xf numFmtId="0" fontId="1" fillId="12" borderId="11" xfId="0" quotePrefix="1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12" xfId="0" quotePrefix="1" applyFont="1" applyFill="1" applyBorder="1" applyAlignment="1">
      <alignment horizontal="center" vertical="center"/>
    </xf>
    <xf numFmtId="0" fontId="1" fillId="10" borderId="14" xfId="0" quotePrefix="1" applyFont="1" applyFill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10" borderId="12" xfId="0" quotePrefix="1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12" borderId="2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13" xfId="0" quotePrefix="1" applyFont="1" applyFill="1" applyBorder="1" applyAlignment="1">
      <alignment horizontal="center" vertical="center"/>
    </xf>
    <xf numFmtId="0" fontId="1" fillId="12" borderId="23" xfId="0" applyFont="1" applyFill="1" applyBorder="1" applyAlignment="1">
      <alignment horizontal="center" vertical="center"/>
    </xf>
    <xf numFmtId="0" fontId="1" fillId="12" borderId="4" xfId="0" quotePrefix="1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16" xfId="0" applyFont="1" applyFill="1" applyBorder="1" applyAlignment="1">
      <alignment horizontal="center" vertical="center"/>
    </xf>
    <xf numFmtId="0" fontId="1" fillId="13" borderId="14" xfId="0" quotePrefix="1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12" xfId="0" quotePrefix="1" applyFont="1" applyFill="1" applyBorder="1" applyAlignment="1">
      <alignment horizontal="center" vertical="center"/>
    </xf>
    <xf numFmtId="0" fontId="1" fillId="11" borderId="14" xfId="0" quotePrefix="1" applyFont="1" applyFill="1" applyBorder="1" applyAlignment="1">
      <alignment horizontal="center" vertical="center"/>
    </xf>
    <xf numFmtId="0" fontId="1" fillId="11" borderId="31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/>
    </xf>
    <xf numFmtId="0" fontId="1" fillId="11" borderId="12" xfId="0" quotePrefix="1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3" borderId="2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13" xfId="0" quotePrefix="1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4" xfId="0" quotePrefix="1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52" xfId="0" applyFont="1" applyFill="1" applyBorder="1" applyAlignment="1">
      <alignment horizontal="center" vertical="center"/>
    </xf>
    <xf numFmtId="0" fontId="1" fillId="13" borderId="42" xfId="0" applyFont="1" applyFill="1" applyBorder="1" applyAlignment="1">
      <alignment horizontal="center" vertical="center"/>
    </xf>
    <xf numFmtId="0" fontId="1" fillId="13" borderId="47" xfId="0" quotePrefix="1" applyFont="1" applyFill="1" applyBorder="1" applyAlignment="1">
      <alignment horizontal="center" vertical="center"/>
    </xf>
    <xf numFmtId="0" fontId="1" fillId="14" borderId="24" xfId="0" applyFont="1" applyFill="1" applyBorder="1" applyAlignment="1">
      <alignment horizontal="center" vertical="center"/>
    </xf>
    <xf numFmtId="0" fontId="1" fillId="14" borderId="20" xfId="0" applyFont="1" applyFill="1" applyBorder="1" applyAlignment="1">
      <alignment horizontal="center" vertical="center"/>
    </xf>
    <xf numFmtId="0" fontId="1" fillId="14" borderId="11" xfId="0" quotePrefix="1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4" borderId="12" xfId="0" quotePrefix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14" borderId="12" xfId="0" applyFont="1" applyFill="1" applyBorder="1" applyAlignment="1">
      <alignment horizontal="center" vertical="center"/>
    </xf>
    <xf numFmtId="0" fontId="1" fillId="14" borderId="22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4" borderId="13" xfId="0" applyFont="1" applyFill="1" applyBorder="1" applyAlignment="1">
      <alignment horizontal="center" vertical="center"/>
    </xf>
    <xf numFmtId="0" fontId="1" fillId="14" borderId="23" xfId="0" applyFont="1" applyFill="1" applyBorder="1" applyAlignment="1">
      <alignment horizontal="center" vertical="center"/>
    </xf>
    <xf numFmtId="0" fontId="1" fillId="14" borderId="4" xfId="0" quotePrefix="1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" fillId="14" borderId="10" xfId="0" applyFont="1" applyFill="1" applyBorder="1" applyAlignment="1">
      <alignment horizontal="center" vertical="center"/>
    </xf>
    <xf numFmtId="0" fontId="1" fillId="14" borderId="13" xfId="0" quotePrefix="1" applyFont="1" applyFill="1" applyBorder="1" applyAlignment="1">
      <alignment horizontal="center" vertical="center"/>
    </xf>
    <xf numFmtId="0" fontId="1" fillId="15" borderId="24" xfId="0" applyFont="1" applyFill="1" applyBorder="1" applyAlignment="1">
      <alignment horizontal="center" vertical="center"/>
    </xf>
    <xf numFmtId="0" fontId="1" fillId="15" borderId="20" xfId="0" applyFont="1" applyFill="1" applyBorder="1" applyAlignment="1">
      <alignment horizontal="center" vertical="center"/>
    </xf>
    <xf numFmtId="0" fontId="1" fillId="15" borderId="11" xfId="0" quotePrefix="1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12" xfId="0" quotePrefix="1" applyFont="1" applyFill="1" applyBorder="1" applyAlignment="1">
      <alignment horizontal="center" vertical="center"/>
    </xf>
    <xf numFmtId="0" fontId="1" fillId="2" borderId="14" xfId="0" quotePrefix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quotePrefix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15" borderId="2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13" xfId="0" quotePrefix="1" applyFont="1" applyFill="1" applyBorder="1" applyAlignment="1">
      <alignment horizontal="center" vertical="center"/>
    </xf>
    <xf numFmtId="0" fontId="1" fillId="15" borderId="23" xfId="0" applyFont="1" applyFill="1" applyBorder="1" applyAlignment="1">
      <alignment horizontal="center" vertical="center"/>
    </xf>
    <xf numFmtId="0" fontId="1" fillId="15" borderId="4" xfId="0" quotePrefix="1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15" borderId="5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29" xfId="0" quotePrefix="1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17" borderId="20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9" fillId="5" borderId="0" xfId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quotePrefix="1" applyFont="1" applyFill="1" applyBorder="1" applyAlignment="1">
      <alignment horizontal="center" vertical="center"/>
    </xf>
    <xf numFmtId="0" fontId="11" fillId="17" borderId="0" xfId="0" applyFont="1" applyFill="1" applyBorder="1" applyAlignment="1">
      <alignment horizontal="center" vertical="center"/>
    </xf>
    <xf numFmtId="0" fontId="11" fillId="17" borderId="0" xfId="0" applyFont="1" applyFill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17" borderId="21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17" borderId="25" xfId="0" applyFont="1" applyFill="1" applyBorder="1" applyAlignment="1">
      <alignment horizontal="center" vertical="center"/>
    </xf>
    <xf numFmtId="0" fontId="4" fillId="17" borderId="27" xfId="0" applyFont="1" applyFill="1" applyBorder="1" applyAlignment="1">
      <alignment horizontal="center" vertical="center"/>
    </xf>
    <xf numFmtId="0" fontId="4" fillId="17" borderId="28" xfId="0" applyFont="1" applyFill="1" applyBorder="1" applyAlignment="1">
      <alignment horizontal="center" vertical="center"/>
    </xf>
    <xf numFmtId="0" fontId="4" fillId="17" borderId="30" xfId="0" applyFont="1" applyFill="1" applyBorder="1" applyAlignment="1">
      <alignment horizontal="center" vertical="center"/>
    </xf>
    <xf numFmtId="0" fontId="6" fillId="18" borderId="36" xfId="0" applyFont="1" applyFill="1" applyBorder="1" applyAlignment="1">
      <alignment horizontal="center" vertical="center"/>
    </xf>
    <xf numFmtId="0" fontId="6" fillId="18" borderId="37" xfId="0" applyFont="1" applyFill="1" applyBorder="1" applyAlignment="1">
      <alignment horizontal="center" vertical="center"/>
    </xf>
    <xf numFmtId="0" fontId="6" fillId="18" borderId="38" xfId="0" applyFont="1" applyFill="1" applyBorder="1" applyAlignment="1">
      <alignment horizontal="center" vertical="center"/>
    </xf>
    <xf numFmtId="0" fontId="6" fillId="18" borderId="26" xfId="0" applyFont="1" applyFill="1" applyBorder="1" applyAlignment="1">
      <alignment horizontal="center" vertical="center"/>
    </xf>
    <xf numFmtId="0" fontId="6" fillId="18" borderId="2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8">
    <dxf>
      <font>
        <color auto="1"/>
      </font>
      <fill>
        <patternFill>
          <bgColor rgb="FF007F00"/>
        </patternFill>
      </fill>
    </dxf>
    <dxf>
      <fill>
        <patternFill>
          <bgColor rgb="FF00007F"/>
        </patternFill>
      </fill>
    </dxf>
    <dxf>
      <fill>
        <patternFill>
          <bgColor rgb="FFFF6600"/>
        </patternFill>
      </fill>
    </dxf>
    <dxf>
      <fill>
        <patternFill>
          <bgColor rgb="FF7F00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F00"/>
        </patternFill>
      </fill>
    </dxf>
    <dxf>
      <fill>
        <patternFill>
          <bgColor rgb="FF00007F"/>
        </patternFill>
      </fill>
    </dxf>
    <dxf>
      <fill>
        <patternFill>
          <bgColor rgb="FFFF6600"/>
        </patternFill>
      </fill>
    </dxf>
    <dxf>
      <fill>
        <patternFill>
          <bgColor rgb="FF7F00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F00"/>
        </patternFill>
      </fill>
    </dxf>
    <dxf>
      <fill>
        <patternFill>
          <bgColor rgb="FF00007F"/>
        </patternFill>
      </fill>
    </dxf>
    <dxf>
      <fill>
        <patternFill>
          <bgColor rgb="FFFF6600"/>
        </patternFill>
      </fill>
    </dxf>
    <dxf>
      <fill>
        <patternFill>
          <bgColor rgb="FF7F00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FFF00"/>
      <color rgb="FF7F00FF"/>
      <color rgb="FF7030A0"/>
      <color rgb="FFFF6600"/>
      <color rgb="FF00007F"/>
      <color rgb="FF007F00"/>
      <color rgb="FF7131A1"/>
      <color rgb="FFFF7F00"/>
      <color rgb="FFD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png"/><Relationship Id="rId18" Type="http://schemas.openxmlformats.org/officeDocument/2006/relationships/image" Target="../media/image12.png"/><Relationship Id="rId26" Type="http://schemas.openxmlformats.org/officeDocument/2006/relationships/image" Target="../media/image20.png"/><Relationship Id="rId3" Type="http://schemas.openxmlformats.org/officeDocument/2006/relationships/hyperlink" Target="http://bit.ly/FBPScom" TargetMode="External"/><Relationship Id="rId21" Type="http://schemas.openxmlformats.org/officeDocument/2006/relationships/image" Target="../media/image15.png"/><Relationship Id="rId7" Type="http://schemas.openxmlformats.org/officeDocument/2006/relationships/hyperlink" Target="http://bit.ly/1lWhzzY" TargetMode="External"/><Relationship Id="rId12" Type="http://schemas.openxmlformats.org/officeDocument/2006/relationships/image" Target="../media/image6.png"/><Relationship Id="rId17" Type="http://schemas.openxmlformats.org/officeDocument/2006/relationships/image" Target="../media/image11.png"/><Relationship Id="rId25" Type="http://schemas.openxmlformats.org/officeDocument/2006/relationships/image" Target="../media/image19.png"/><Relationship Id="rId2" Type="http://schemas.openxmlformats.org/officeDocument/2006/relationships/image" Target="../media/image1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29" Type="http://schemas.openxmlformats.org/officeDocument/2006/relationships/hyperlink" Target="http://bit.ly/1Ql77iH" TargetMode="External"/><Relationship Id="rId1" Type="http://schemas.openxmlformats.org/officeDocument/2006/relationships/hyperlink" Target="http://bit.ly/1STW1yM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://apple.co/1OZ2GXx" TargetMode="External"/><Relationship Id="rId24" Type="http://schemas.openxmlformats.org/officeDocument/2006/relationships/image" Target="../media/image18.png"/><Relationship Id="rId5" Type="http://schemas.openxmlformats.org/officeDocument/2006/relationships/hyperlink" Target="http://bit.ly/TwitterPScom" TargetMode="External"/><Relationship Id="rId15" Type="http://schemas.openxmlformats.org/officeDocument/2006/relationships/image" Target="../media/image9.png"/><Relationship Id="rId23" Type="http://schemas.openxmlformats.org/officeDocument/2006/relationships/image" Target="../media/image17.png"/><Relationship Id="rId28" Type="http://schemas.openxmlformats.org/officeDocument/2006/relationships/image" Target="../media/image21.png"/><Relationship Id="rId10" Type="http://schemas.openxmlformats.org/officeDocument/2006/relationships/image" Target="../media/image5.png"/><Relationship Id="rId19" Type="http://schemas.openxmlformats.org/officeDocument/2006/relationships/image" Target="../media/image13.png"/><Relationship Id="rId4" Type="http://schemas.openxmlformats.org/officeDocument/2006/relationships/image" Target="../media/image2.png"/><Relationship Id="rId9" Type="http://schemas.openxmlformats.org/officeDocument/2006/relationships/hyperlink" Target="http://bit.ly/1Y4SvYZ" TargetMode="External"/><Relationship Id="rId14" Type="http://schemas.openxmlformats.org/officeDocument/2006/relationships/image" Target="../media/image8.png"/><Relationship Id="rId22" Type="http://schemas.openxmlformats.org/officeDocument/2006/relationships/image" Target="../media/image16.png"/><Relationship Id="rId27" Type="http://schemas.openxmlformats.org/officeDocument/2006/relationships/hyperlink" Target="http://bit.ly/ProBetclic" TargetMode="External"/><Relationship Id="rId30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29</xdr:row>
      <xdr:rowOff>0</xdr:rowOff>
    </xdr:from>
    <xdr:to>
      <xdr:col>16</xdr:col>
      <xdr:colOff>353786</xdr:colOff>
      <xdr:row>31</xdr:row>
      <xdr:rowOff>0</xdr:rowOff>
    </xdr:to>
    <xdr:cxnSp macro="">
      <xdr:nvCxnSpPr>
        <xdr:cNvPr id="2" name="Connecteur droit 1"/>
        <xdr:cNvCxnSpPr/>
      </xdr:nvCxnSpPr>
      <xdr:spPr>
        <a:xfrm>
          <a:off x="10172700" y="6134100"/>
          <a:ext cx="353786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41</xdr:row>
      <xdr:rowOff>0</xdr:rowOff>
    </xdr:from>
    <xdr:to>
      <xdr:col>16</xdr:col>
      <xdr:colOff>367393</xdr:colOff>
      <xdr:row>42</xdr:row>
      <xdr:rowOff>190500</xdr:rowOff>
    </xdr:to>
    <xdr:cxnSp macro="">
      <xdr:nvCxnSpPr>
        <xdr:cNvPr id="3" name="Connecteur droit 2"/>
        <xdr:cNvCxnSpPr/>
      </xdr:nvCxnSpPr>
      <xdr:spPr>
        <a:xfrm>
          <a:off x="10172700" y="8515350"/>
          <a:ext cx="367393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45</xdr:row>
      <xdr:rowOff>13608</xdr:rowOff>
    </xdr:from>
    <xdr:to>
      <xdr:col>16</xdr:col>
      <xdr:colOff>367393</xdr:colOff>
      <xdr:row>46</xdr:row>
      <xdr:rowOff>176893</xdr:rowOff>
    </xdr:to>
    <xdr:cxnSp macro="">
      <xdr:nvCxnSpPr>
        <xdr:cNvPr id="4" name="Connecteur droit 3"/>
        <xdr:cNvCxnSpPr/>
      </xdr:nvCxnSpPr>
      <xdr:spPr>
        <a:xfrm flipV="1">
          <a:off x="10172700" y="9329058"/>
          <a:ext cx="367393" cy="3633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14</xdr:row>
      <xdr:rowOff>190500</xdr:rowOff>
    </xdr:from>
    <xdr:to>
      <xdr:col>20</xdr:col>
      <xdr:colOff>0</xdr:colOff>
      <xdr:row>19</xdr:row>
      <xdr:rowOff>193887</xdr:rowOff>
    </xdr:to>
    <xdr:cxnSp macro="">
      <xdr:nvCxnSpPr>
        <xdr:cNvPr id="5" name="Connecteur droit 4"/>
        <xdr:cNvCxnSpPr/>
      </xdr:nvCxnSpPr>
      <xdr:spPr>
        <a:xfrm flipV="1">
          <a:off x="11658600" y="3352800"/>
          <a:ext cx="381000" cy="993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26</xdr:row>
      <xdr:rowOff>149679</xdr:rowOff>
    </xdr:from>
    <xdr:to>
      <xdr:col>23</xdr:col>
      <xdr:colOff>0</xdr:colOff>
      <xdr:row>37</xdr:row>
      <xdr:rowOff>171643</xdr:rowOff>
    </xdr:to>
    <xdr:cxnSp macro="">
      <xdr:nvCxnSpPr>
        <xdr:cNvPr id="6" name="Connecteur droit 5"/>
        <xdr:cNvCxnSpPr/>
      </xdr:nvCxnSpPr>
      <xdr:spPr>
        <a:xfrm flipV="1">
          <a:off x="16383000" y="5783036"/>
          <a:ext cx="762000" cy="22399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</xdr:colOff>
      <xdr:row>8</xdr:row>
      <xdr:rowOff>1</xdr:rowOff>
    </xdr:from>
    <xdr:to>
      <xdr:col>20</xdr:col>
      <xdr:colOff>0</xdr:colOff>
      <xdr:row>13</xdr:row>
      <xdr:rowOff>68035</xdr:rowOff>
    </xdr:to>
    <xdr:cxnSp macro="">
      <xdr:nvCxnSpPr>
        <xdr:cNvPr id="7" name="Connecteur droit 6"/>
        <xdr:cNvCxnSpPr/>
      </xdr:nvCxnSpPr>
      <xdr:spPr>
        <a:xfrm flipH="1" flipV="1">
          <a:off x="11658602" y="1971676"/>
          <a:ext cx="380998" cy="10586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</xdr:colOff>
      <xdr:row>14</xdr:row>
      <xdr:rowOff>0</xdr:rowOff>
    </xdr:from>
    <xdr:to>
      <xdr:col>23</xdr:col>
      <xdr:colOff>0</xdr:colOff>
      <xdr:row>25</xdr:row>
      <xdr:rowOff>54429</xdr:rowOff>
    </xdr:to>
    <xdr:cxnSp macro="">
      <xdr:nvCxnSpPr>
        <xdr:cNvPr id="8" name="Connecteur droit 7"/>
        <xdr:cNvCxnSpPr/>
      </xdr:nvCxnSpPr>
      <xdr:spPr>
        <a:xfrm flipH="1" flipV="1">
          <a:off x="13134976" y="3162300"/>
          <a:ext cx="380999" cy="22356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0</xdr:rowOff>
    </xdr:from>
    <xdr:to>
      <xdr:col>16</xdr:col>
      <xdr:colOff>353786</xdr:colOff>
      <xdr:row>19</xdr:row>
      <xdr:rowOff>1</xdr:rowOff>
    </xdr:to>
    <xdr:cxnSp macro="">
      <xdr:nvCxnSpPr>
        <xdr:cNvPr id="9" name="Connecteur droit 8"/>
        <xdr:cNvCxnSpPr/>
      </xdr:nvCxnSpPr>
      <xdr:spPr>
        <a:xfrm>
          <a:off x="10172700" y="3752850"/>
          <a:ext cx="353786" cy="400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353786</xdr:colOff>
      <xdr:row>7</xdr:row>
      <xdr:rowOff>1</xdr:rowOff>
    </xdr:to>
    <xdr:cxnSp macro="">
      <xdr:nvCxnSpPr>
        <xdr:cNvPr id="10" name="Connecteur droit 9"/>
        <xdr:cNvCxnSpPr/>
      </xdr:nvCxnSpPr>
      <xdr:spPr>
        <a:xfrm>
          <a:off x="10172700" y="1371600"/>
          <a:ext cx="353786" cy="400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33</xdr:row>
      <xdr:rowOff>0</xdr:rowOff>
    </xdr:from>
    <xdr:to>
      <xdr:col>16</xdr:col>
      <xdr:colOff>367393</xdr:colOff>
      <xdr:row>34</xdr:row>
      <xdr:rowOff>163286</xdr:rowOff>
    </xdr:to>
    <xdr:cxnSp macro="">
      <xdr:nvCxnSpPr>
        <xdr:cNvPr id="11" name="Connecteur droit 10"/>
        <xdr:cNvCxnSpPr/>
      </xdr:nvCxnSpPr>
      <xdr:spPr>
        <a:xfrm flipV="1">
          <a:off x="10172700" y="6934200"/>
          <a:ext cx="367393" cy="3633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0</xdr:rowOff>
    </xdr:from>
    <xdr:to>
      <xdr:col>16</xdr:col>
      <xdr:colOff>367393</xdr:colOff>
      <xdr:row>22</xdr:row>
      <xdr:rowOff>163286</xdr:rowOff>
    </xdr:to>
    <xdr:cxnSp macro="">
      <xdr:nvCxnSpPr>
        <xdr:cNvPr id="12" name="Connecteur droit 11"/>
        <xdr:cNvCxnSpPr/>
      </xdr:nvCxnSpPr>
      <xdr:spPr>
        <a:xfrm flipV="1">
          <a:off x="10172700" y="4552950"/>
          <a:ext cx="367393" cy="3633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367393</xdr:colOff>
      <xdr:row>10</xdr:row>
      <xdr:rowOff>163286</xdr:rowOff>
    </xdr:to>
    <xdr:cxnSp macro="">
      <xdr:nvCxnSpPr>
        <xdr:cNvPr id="13" name="Connecteur droit 12"/>
        <xdr:cNvCxnSpPr/>
      </xdr:nvCxnSpPr>
      <xdr:spPr>
        <a:xfrm flipV="1">
          <a:off x="10172700" y="2171700"/>
          <a:ext cx="367393" cy="3633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748393</xdr:colOff>
      <xdr:row>39</xdr:row>
      <xdr:rowOff>27214</xdr:rowOff>
    </xdr:from>
    <xdr:to>
      <xdr:col>19</xdr:col>
      <xdr:colOff>748393</xdr:colOff>
      <xdr:row>44</xdr:row>
      <xdr:rowOff>30601</xdr:rowOff>
    </xdr:to>
    <xdr:cxnSp macro="">
      <xdr:nvCxnSpPr>
        <xdr:cNvPr id="14" name="Connecteur droit 13"/>
        <xdr:cNvCxnSpPr/>
      </xdr:nvCxnSpPr>
      <xdr:spPr>
        <a:xfrm flipV="1">
          <a:off x="14083393" y="8286750"/>
          <a:ext cx="762000" cy="10103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</xdr:colOff>
      <xdr:row>32</xdr:row>
      <xdr:rowOff>2</xdr:rowOff>
    </xdr:from>
    <xdr:to>
      <xdr:col>20</xdr:col>
      <xdr:colOff>0</xdr:colOff>
      <xdr:row>37</xdr:row>
      <xdr:rowOff>81642</xdr:rowOff>
    </xdr:to>
    <xdr:cxnSp macro="">
      <xdr:nvCxnSpPr>
        <xdr:cNvPr id="15" name="Connecteur droit 14"/>
        <xdr:cNvCxnSpPr/>
      </xdr:nvCxnSpPr>
      <xdr:spPr>
        <a:xfrm flipH="1" flipV="1">
          <a:off x="13253358" y="6858002"/>
          <a:ext cx="761999" cy="10885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152400</xdr:colOff>
      <xdr:row>1</xdr:row>
      <xdr:rowOff>38100</xdr:rowOff>
    </xdr:from>
    <xdr:to>
      <xdr:col>4</xdr:col>
      <xdr:colOff>314325</xdr:colOff>
      <xdr:row>2</xdr:row>
      <xdr:rowOff>295275</xdr:rowOff>
    </xdr:to>
    <xdr:pic>
      <xdr:nvPicPr>
        <xdr:cNvPr id="16" name="Image 1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28600"/>
          <a:ext cx="2428875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428626</xdr:colOff>
      <xdr:row>4</xdr:row>
      <xdr:rowOff>295275</xdr:rowOff>
    </xdr:from>
    <xdr:to>
      <xdr:col>1</xdr:col>
      <xdr:colOff>206627</xdr:colOff>
      <xdr:row>6</xdr:row>
      <xdr:rowOff>73275</xdr:rowOff>
    </xdr:to>
    <xdr:pic>
      <xdr:nvPicPr>
        <xdr:cNvPr id="17" name="Image 1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1628775"/>
          <a:ext cx="540001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292102</xdr:colOff>
      <xdr:row>4</xdr:row>
      <xdr:rowOff>301625</xdr:rowOff>
    </xdr:from>
    <xdr:to>
      <xdr:col>2</xdr:col>
      <xdr:colOff>59700</xdr:colOff>
      <xdr:row>6</xdr:row>
      <xdr:rowOff>79625</xdr:rowOff>
    </xdr:to>
    <xdr:pic>
      <xdr:nvPicPr>
        <xdr:cNvPr id="18" name="Image 1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2" y="1635125"/>
          <a:ext cx="529598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114301</xdr:colOff>
      <xdr:row>4</xdr:row>
      <xdr:rowOff>297473</xdr:rowOff>
    </xdr:from>
    <xdr:to>
      <xdr:col>3</xdr:col>
      <xdr:colOff>282827</xdr:colOff>
      <xdr:row>6</xdr:row>
      <xdr:rowOff>75473</xdr:rowOff>
    </xdr:to>
    <xdr:pic>
      <xdr:nvPicPr>
        <xdr:cNvPr id="19" name="Image 1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1" y="1630973"/>
          <a:ext cx="542199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2</xdr:row>
      <xdr:rowOff>314325</xdr:rowOff>
    </xdr:from>
    <xdr:to>
      <xdr:col>2</xdr:col>
      <xdr:colOff>92325</xdr:colOff>
      <xdr:row>4</xdr:row>
      <xdr:rowOff>92325</xdr:rowOff>
    </xdr:to>
    <xdr:pic>
      <xdr:nvPicPr>
        <xdr:cNvPr id="20" name="Image 1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8858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2</xdr:row>
      <xdr:rowOff>276225</xdr:rowOff>
    </xdr:from>
    <xdr:to>
      <xdr:col>1</xdr:col>
      <xdr:colOff>206625</xdr:colOff>
      <xdr:row>4</xdr:row>
      <xdr:rowOff>54225</xdr:rowOff>
    </xdr:to>
    <xdr:pic>
      <xdr:nvPicPr>
        <xdr:cNvPr id="21" name="Image 2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8477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8</xdr:col>
      <xdr:colOff>623899</xdr:colOff>
      <xdr:row>48</xdr:row>
      <xdr:rowOff>112352</xdr:rowOff>
    </xdr:from>
    <xdr:to>
      <xdr:col>9</xdr:col>
      <xdr:colOff>530095</xdr:colOff>
      <xdr:row>49</xdr:row>
      <xdr:rowOff>91352</xdr:rowOff>
    </xdr:to>
    <xdr:pic>
      <xdr:nvPicPr>
        <xdr:cNvPr id="22" name="Image 2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9899" y="18209852"/>
          <a:ext cx="668196" cy="3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222662</xdr:colOff>
      <xdr:row>48</xdr:row>
      <xdr:rowOff>107015</xdr:rowOff>
    </xdr:from>
    <xdr:to>
      <xdr:col>8</xdr:col>
      <xdr:colOff>575506</xdr:colOff>
      <xdr:row>49</xdr:row>
      <xdr:rowOff>86015</xdr:rowOff>
    </xdr:to>
    <xdr:pic>
      <xdr:nvPicPr>
        <xdr:cNvPr id="23" name="Image 22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1162" y="18204515"/>
          <a:ext cx="670344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221892</xdr:colOff>
      <xdr:row>48</xdr:row>
      <xdr:rowOff>90328</xdr:rowOff>
    </xdr:from>
    <xdr:to>
      <xdr:col>6</xdr:col>
      <xdr:colOff>128088</xdr:colOff>
      <xdr:row>49</xdr:row>
      <xdr:rowOff>69328</xdr:rowOff>
    </xdr:to>
    <xdr:pic>
      <xdr:nvPicPr>
        <xdr:cNvPr id="24" name="Image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4017" y="18187828"/>
          <a:ext cx="668196" cy="3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268709</xdr:colOff>
      <xdr:row>48</xdr:row>
      <xdr:rowOff>87927</xdr:rowOff>
    </xdr:from>
    <xdr:to>
      <xdr:col>5</xdr:col>
      <xdr:colOff>174189</xdr:colOff>
      <xdr:row>49</xdr:row>
      <xdr:rowOff>66927</xdr:rowOff>
    </xdr:to>
    <xdr:pic>
      <xdr:nvPicPr>
        <xdr:cNvPr id="25" name="Image 24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834" y="18185427"/>
          <a:ext cx="667480" cy="3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326681</xdr:colOff>
      <xdr:row>48</xdr:row>
      <xdr:rowOff>95072</xdr:rowOff>
    </xdr:from>
    <xdr:to>
      <xdr:col>4</xdr:col>
      <xdr:colOff>181601</xdr:colOff>
      <xdr:row>49</xdr:row>
      <xdr:rowOff>74072</xdr:rowOff>
    </xdr:to>
    <xdr:pic>
      <xdr:nvPicPr>
        <xdr:cNvPr id="26" name="Image 25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681" y="18192572"/>
          <a:ext cx="601045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321059</xdr:colOff>
      <xdr:row>48</xdr:row>
      <xdr:rowOff>86344</xdr:rowOff>
    </xdr:from>
    <xdr:to>
      <xdr:col>2</xdr:col>
      <xdr:colOff>154799</xdr:colOff>
      <xdr:row>49</xdr:row>
      <xdr:rowOff>65344</xdr:rowOff>
    </xdr:to>
    <xdr:pic>
      <xdr:nvPicPr>
        <xdr:cNvPr id="27" name="Image 26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059" y="18183844"/>
          <a:ext cx="595740" cy="360000"/>
        </a:xfrm>
        <a:prstGeom prst="rect">
          <a:avLst/>
        </a:prstGeom>
      </xdr:spPr>
    </xdr:pic>
    <xdr:clientData/>
  </xdr:twoCellAnchor>
  <xdr:twoCellAnchor editAs="oneCell">
    <xdr:from>
      <xdr:col>8</xdr:col>
      <xdr:colOff>664731</xdr:colOff>
      <xdr:row>46</xdr:row>
      <xdr:rowOff>225193</xdr:rowOff>
    </xdr:from>
    <xdr:to>
      <xdr:col>9</xdr:col>
      <xdr:colOff>498471</xdr:colOff>
      <xdr:row>47</xdr:row>
      <xdr:rowOff>204193</xdr:rowOff>
    </xdr:to>
    <xdr:pic>
      <xdr:nvPicPr>
        <xdr:cNvPr id="28" name="Image 27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0731" y="17560693"/>
          <a:ext cx="595740" cy="3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263258</xdr:colOff>
      <xdr:row>46</xdr:row>
      <xdr:rowOff>224378</xdr:rowOff>
    </xdr:from>
    <xdr:to>
      <xdr:col>8</xdr:col>
      <xdr:colOff>545166</xdr:colOff>
      <xdr:row>47</xdr:row>
      <xdr:rowOff>203378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1758" y="17559878"/>
          <a:ext cx="599408" cy="36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257684</xdr:colOff>
      <xdr:row>46</xdr:row>
      <xdr:rowOff>221979</xdr:rowOff>
    </xdr:from>
    <xdr:to>
      <xdr:col>7</xdr:col>
      <xdr:colOff>144738</xdr:colOff>
      <xdr:row>47</xdr:row>
      <xdr:rowOff>200979</xdr:rowOff>
    </xdr:to>
    <xdr:pic>
      <xdr:nvPicPr>
        <xdr:cNvPr id="30" name="Image 29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1809" y="17557479"/>
          <a:ext cx="601429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281660</xdr:colOff>
      <xdr:row>46</xdr:row>
      <xdr:rowOff>211641</xdr:rowOff>
    </xdr:from>
    <xdr:to>
      <xdr:col>6</xdr:col>
      <xdr:colOff>124778</xdr:colOff>
      <xdr:row>47</xdr:row>
      <xdr:rowOff>190641</xdr:rowOff>
    </xdr:to>
    <xdr:pic>
      <xdr:nvPicPr>
        <xdr:cNvPr id="31" name="Image 30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785" y="17547141"/>
          <a:ext cx="605118" cy="3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317362</xdr:colOff>
      <xdr:row>46</xdr:row>
      <xdr:rowOff>214004</xdr:rowOff>
    </xdr:from>
    <xdr:to>
      <xdr:col>5</xdr:col>
      <xdr:colOff>162547</xdr:colOff>
      <xdr:row>47</xdr:row>
      <xdr:rowOff>193004</xdr:rowOff>
    </xdr:to>
    <xdr:pic>
      <xdr:nvPicPr>
        <xdr:cNvPr id="32" name="Image 31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7487" y="17549504"/>
          <a:ext cx="607185" cy="3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326069</xdr:colOff>
      <xdr:row>46</xdr:row>
      <xdr:rowOff>204648</xdr:rowOff>
    </xdr:from>
    <xdr:to>
      <xdr:col>4</xdr:col>
      <xdr:colOff>187129</xdr:colOff>
      <xdr:row>47</xdr:row>
      <xdr:rowOff>183648</xdr:rowOff>
    </xdr:to>
    <xdr:pic>
      <xdr:nvPicPr>
        <xdr:cNvPr id="33" name="Image 32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069" y="17540148"/>
          <a:ext cx="607185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318866</xdr:colOff>
      <xdr:row>46</xdr:row>
      <xdr:rowOff>206394</xdr:rowOff>
    </xdr:from>
    <xdr:to>
      <xdr:col>2</xdr:col>
      <xdr:colOff>175991</xdr:colOff>
      <xdr:row>47</xdr:row>
      <xdr:rowOff>192473</xdr:rowOff>
    </xdr:to>
    <xdr:pic>
      <xdr:nvPicPr>
        <xdr:cNvPr id="34" name="Image 33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866" y="17541894"/>
          <a:ext cx="619125" cy="367079"/>
        </a:xfrm>
        <a:prstGeom prst="rect">
          <a:avLst/>
        </a:prstGeom>
      </xdr:spPr>
    </xdr:pic>
    <xdr:clientData/>
  </xdr:twoCellAnchor>
  <xdr:twoCellAnchor editAs="oneCell">
    <xdr:from>
      <xdr:col>6</xdr:col>
      <xdr:colOff>208007</xdr:colOff>
      <xdr:row>48</xdr:row>
      <xdr:rowOff>95249</xdr:rowOff>
    </xdr:from>
    <xdr:to>
      <xdr:col>7</xdr:col>
      <xdr:colOff>163976</xdr:colOff>
      <xdr:row>49</xdr:row>
      <xdr:rowOff>74249</xdr:rowOff>
    </xdr:to>
    <xdr:pic>
      <xdr:nvPicPr>
        <xdr:cNvPr id="35" name="Image 34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2132" y="18192749"/>
          <a:ext cx="670344" cy="3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310348</xdr:colOff>
      <xdr:row>3</xdr:row>
      <xdr:rowOff>154180</xdr:rowOff>
    </xdr:from>
    <xdr:to>
      <xdr:col>9</xdr:col>
      <xdr:colOff>586954</xdr:colOff>
      <xdr:row>4</xdr:row>
      <xdr:rowOff>317367</xdr:rowOff>
    </xdr:to>
    <xdr:pic>
      <xdr:nvPicPr>
        <xdr:cNvPr id="36" name="Image 35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673" y="1106680"/>
          <a:ext cx="1352931" cy="544187"/>
        </a:xfrm>
        <a:prstGeom prst="rect">
          <a:avLst/>
        </a:prstGeom>
      </xdr:spPr>
    </xdr:pic>
    <xdr:clientData/>
  </xdr:twoCellAnchor>
  <xdr:twoCellAnchor editAs="oneCell">
    <xdr:from>
      <xdr:col>10</xdr:col>
      <xdr:colOff>164532</xdr:colOff>
      <xdr:row>3</xdr:row>
      <xdr:rowOff>176056</xdr:rowOff>
    </xdr:from>
    <xdr:to>
      <xdr:col>11</xdr:col>
      <xdr:colOff>748345</xdr:colOff>
      <xdr:row>4</xdr:row>
      <xdr:rowOff>339243</xdr:rowOff>
    </xdr:to>
    <xdr:pic>
      <xdr:nvPicPr>
        <xdr:cNvPr id="37" name="Image 36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182" y="1128556"/>
          <a:ext cx="1345813" cy="544187"/>
        </a:xfrm>
        <a:prstGeom prst="rect">
          <a:avLst/>
        </a:prstGeom>
      </xdr:spPr>
    </xdr:pic>
    <xdr:clientData/>
  </xdr:twoCellAnchor>
  <xdr:oneCellAnchor>
    <xdr:from>
      <xdr:col>8</xdr:col>
      <xdr:colOff>17160</xdr:colOff>
      <xdr:row>0</xdr:row>
      <xdr:rowOff>23136</xdr:rowOff>
    </xdr:from>
    <xdr:ext cx="2749919" cy="1031564"/>
    <xdr:sp macro="" textlink="">
      <xdr:nvSpPr>
        <xdr:cNvPr id="38" name="Rectangle 37"/>
        <xdr:cNvSpPr/>
      </xdr:nvSpPr>
      <xdr:spPr>
        <a:xfrm>
          <a:off x="4831995" y="23136"/>
          <a:ext cx="2749919" cy="103156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fr-FR" sz="3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Pariez sur l'Euro</a:t>
          </a:r>
        </a:p>
        <a:p>
          <a:pPr algn="ctr"/>
          <a:r>
            <a:rPr lang="fr-FR" sz="3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Sans</a:t>
          </a:r>
          <a:r>
            <a:rPr lang="fr-FR" sz="3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Risque</a:t>
          </a:r>
          <a:endParaRPr lang="fr-FR" sz="30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68689</xdr:colOff>
      <xdr:row>5</xdr:row>
      <xdr:rowOff>21669</xdr:rowOff>
    </xdr:from>
    <xdr:ext cx="6813281" cy="561949"/>
    <xdr:sp macro="" textlink="">
      <xdr:nvSpPr>
        <xdr:cNvPr id="39" name="Rectangle 38"/>
        <xdr:cNvSpPr/>
      </xdr:nvSpPr>
      <xdr:spPr>
        <a:xfrm>
          <a:off x="3097639" y="1736169"/>
          <a:ext cx="6813281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fr-FR" sz="3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Votre 1er</a:t>
          </a:r>
          <a:r>
            <a:rPr lang="fr-FR" sz="3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Pari est Remboursé</a:t>
          </a:r>
          <a:endParaRPr lang="fr-FR" sz="3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cons.yoothem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showGridLines="0" tabSelected="1" zoomScale="25" zoomScaleNormal="25" workbookViewId="0">
      <selection activeCell="A8" sqref="A8"/>
    </sheetView>
  </sheetViews>
  <sheetFormatPr baseColWidth="10" defaultRowHeight="14.25" x14ac:dyDescent="0.25"/>
  <cols>
    <col min="1" max="2" width="11.42578125" style="1"/>
    <col min="3" max="4" width="5.5703125" style="1" customWidth="1"/>
    <col min="5" max="6" width="11.42578125" style="1"/>
    <col min="7" max="7" width="10.7109375" style="1" customWidth="1"/>
    <col min="8" max="8" width="4.7109375" style="1" customWidth="1"/>
    <col min="9" max="13" width="11.42578125" style="1"/>
    <col min="14" max="14" width="10.7109375" style="1" customWidth="1"/>
    <col min="15" max="15" width="11.42578125" style="1"/>
    <col min="16" max="16" width="5" style="1" customWidth="1"/>
    <col min="17" max="17" width="5.7109375" style="1" customWidth="1"/>
    <col min="18" max="18" width="11.42578125" style="1"/>
    <col min="19" max="19" width="5" style="1" customWidth="1"/>
    <col min="20" max="20" width="5.7109375" style="1" customWidth="1"/>
    <col min="21" max="21" width="11.42578125" style="1"/>
    <col min="22" max="22" width="5" style="1" customWidth="1"/>
    <col min="23" max="23" width="5.7109375" style="1" customWidth="1"/>
    <col min="24" max="24" width="11.42578125" style="1"/>
    <col min="25" max="25" width="5" style="1" customWidth="1"/>
    <col min="26" max="27" width="5.7109375" style="1" customWidth="1"/>
    <col min="28" max="28" width="11.42578125" style="1"/>
    <col min="29" max="33" width="11.42578125" style="1" customWidth="1"/>
    <col min="34" max="34" width="11.42578125" style="1" hidden="1" customWidth="1"/>
    <col min="35" max="36" width="11.85546875" style="1" hidden="1" customWidth="1"/>
    <col min="37" max="43" width="11.85546875" style="2" hidden="1" customWidth="1"/>
    <col min="44" max="44" width="11.85546875" style="2" customWidth="1"/>
    <col min="45" max="45" width="11.42578125" style="2"/>
    <col min="46" max="16384" width="11.42578125" style="1"/>
  </cols>
  <sheetData>
    <row r="1" spans="1:43" ht="1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41" t="s">
        <v>10</v>
      </c>
      <c r="P1" s="242"/>
      <c r="Q1" s="4"/>
      <c r="R1" s="241" t="s">
        <v>11</v>
      </c>
      <c r="S1" s="242"/>
      <c r="T1" s="4"/>
      <c r="U1" s="241" t="s">
        <v>47</v>
      </c>
      <c r="V1" s="242"/>
      <c r="W1" s="4"/>
      <c r="X1" s="241" t="s">
        <v>49</v>
      </c>
      <c r="Y1" s="242"/>
      <c r="Z1" s="6"/>
    </row>
    <row r="2" spans="1:43" ht="30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243"/>
      <c r="P2" s="244"/>
      <c r="Q2" s="5"/>
      <c r="R2" s="243"/>
      <c r="S2" s="244"/>
      <c r="T2" s="5"/>
      <c r="U2" s="243"/>
      <c r="V2" s="244"/>
      <c r="W2" s="5"/>
      <c r="X2" s="243"/>
      <c r="Y2" s="244"/>
      <c r="Z2" s="6"/>
      <c r="AJ2" s="2"/>
      <c r="AK2" s="3"/>
      <c r="AL2" s="3"/>
      <c r="AM2" s="3"/>
      <c r="AN2" s="3"/>
      <c r="AO2" s="3"/>
      <c r="AP2" s="3"/>
      <c r="AQ2" s="3"/>
    </row>
    <row r="3" spans="1:43" ht="30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  <c r="AB3" s="245" t="s">
        <v>21</v>
      </c>
      <c r="AC3" s="246"/>
      <c r="AD3" s="246"/>
      <c r="AE3" s="246"/>
      <c r="AF3" s="246"/>
      <c r="AG3" s="247"/>
      <c r="AH3" s="2"/>
      <c r="AJ3" s="2"/>
      <c r="AK3" s="3" t="s">
        <v>1</v>
      </c>
      <c r="AL3" s="7" t="s">
        <v>4</v>
      </c>
      <c r="AM3" s="7" t="s">
        <v>5</v>
      </c>
      <c r="AN3" s="8" t="s">
        <v>13</v>
      </c>
      <c r="AO3" s="7" t="s">
        <v>3</v>
      </c>
      <c r="AP3" s="3" t="s">
        <v>14</v>
      </c>
      <c r="AQ3" s="7" t="s">
        <v>1</v>
      </c>
    </row>
    <row r="4" spans="1:43" ht="30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30" t="str">
        <f>I11</f>
        <v>Suisse</v>
      </c>
      <c r="P4" s="232"/>
      <c r="Q4" s="5"/>
      <c r="R4" s="5"/>
      <c r="S4" s="5"/>
      <c r="T4" s="5"/>
      <c r="U4" s="5"/>
      <c r="V4" s="5"/>
      <c r="W4" s="5"/>
      <c r="X4" s="5"/>
      <c r="Y4" s="5"/>
      <c r="Z4" s="6"/>
      <c r="AB4" s="9" t="s">
        <v>7</v>
      </c>
      <c r="AC4" s="10" t="s">
        <v>22</v>
      </c>
      <c r="AD4" s="11" t="s">
        <v>3</v>
      </c>
      <c r="AE4" s="12" t="str">
        <f>"+/-"</f>
        <v>+/-</v>
      </c>
      <c r="AF4" s="11" t="s">
        <v>4</v>
      </c>
      <c r="AG4" s="13" t="s">
        <v>6</v>
      </c>
      <c r="AH4" s="2"/>
      <c r="AJ4" s="2"/>
      <c r="AK4" s="3" t="str">
        <f>B9</f>
        <v>France</v>
      </c>
      <c r="AL4" s="7">
        <f>SUM(C9:C11)</f>
        <v>2</v>
      </c>
      <c r="AM4" s="7">
        <f>SUM(D9:D11)</f>
        <v>0</v>
      </c>
      <c r="AN4" s="7">
        <f>SUM(AL4,-AM4)</f>
        <v>2</v>
      </c>
      <c r="AO4" s="7">
        <f>COUNTIF(F9:F14,B9)*3+COUNTIF(F9:F11,"Égalité")</f>
        <v>7</v>
      </c>
      <c r="AP4" s="3">
        <f>SUM(AO4,AN4/100,AL4/10000)</f>
        <v>7.0202</v>
      </c>
      <c r="AQ4" s="7" t="str">
        <f>B9</f>
        <v>France</v>
      </c>
    </row>
    <row r="5" spans="1:43" ht="30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231"/>
      <c r="P5" s="233"/>
      <c r="Q5" s="5"/>
      <c r="R5" s="5"/>
      <c r="S5" s="5"/>
      <c r="T5" s="5"/>
      <c r="U5" s="5"/>
      <c r="V5" s="5"/>
      <c r="W5" s="5"/>
      <c r="X5" s="5"/>
      <c r="Y5" s="5"/>
      <c r="Z5" s="6"/>
      <c r="AB5" s="14" t="s">
        <v>12</v>
      </c>
      <c r="AC5" s="15" t="str">
        <f>I12</f>
        <v>Albanie</v>
      </c>
      <c r="AD5" s="16">
        <f>J12</f>
        <v>2</v>
      </c>
      <c r="AE5" s="16">
        <f>M12</f>
        <v>-1</v>
      </c>
      <c r="AF5" s="16">
        <f>K12</f>
        <v>1</v>
      </c>
      <c r="AG5" s="17">
        <f>AD5+0.01*AE5+0.0001*AF5</f>
        <v>1.9901</v>
      </c>
      <c r="AH5" s="15" t="str">
        <f>I12</f>
        <v>Albanie</v>
      </c>
      <c r="AI5" s="17" t="s">
        <v>12</v>
      </c>
      <c r="AJ5" s="2"/>
      <c r="AK5" s="7" t="str">
        <f>B12</f>
        <v>Roumanie</v>
      </c>
      <c r="AL5" s="7">
        <f>SUM(C12,C13,D9)</f>
        <v>1</v>
      </c>
      <c r="AM5" s="7">
        <f>SUM(C9,D12,D13)</f>
        <v>3</v>
      </c>
      <c r="AN5" s="7">
        <f>SUM(AL5,-AM5)</f>
        <v>-2</v>
      </c>
      <c r="AO5" s="7">
        <f>COUNTIF(F9:F14,B12)*3+COUNTIF(F9,"Égalité")+COUNTIF(F12:F13,"Égalité")</f>
        <v>1</v>
      </c>
      <c r="AP5" s="3">
        <f>SUM(AO5,AN5/100,AL5/10000)</f>
        <v>0.98009999999999997</v>
      </c>
      <c r="AQ5" s="7" t="str">
        <f>B12</f>
        <v>Roumanie</v>
      </c>
    </row>
    <row r="6" spans="1:43" ht="30" customHeight="1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231" t="str">
        <f>I23</f>
        <v>Irlande N.</v>
      </c>
      <c r="P6" s="233"/>
      <c r="Q6" s="5"/>
      <c r="R6" s="5"/>
      <c r="S6" s="5"/>
      <c r="T6" s="5"/>
      <c r="U6" s="5"/>
      <c r="V6" s="5"/>
      <c r="W6" s="5"/>
      <c r="X6" s="5"/>
      <c r="Y6" s="5"/>
      <c r="Z6" s="6"/>
      <c r="AB6" s="18" t="s">
        <v>15</v>
      </c>
      <c r="AC6" s="19" t="str">
        <f>I18</f>
        <v>P. Galles</v>
      </c>
      <c r="AD6" s="20">
        <f>J18</f>
        <v>2</v>
      </c>
      <c r="AE6" s="20">
        <f>M18</f>
        <v>-1</v>
      </c>
      <c r="AF6" s="20">
        <f>K18</f>
        <v>2</v>
      </c>
      <c r="AG6" s="21">
        <f t="shared" ref="AG6:AG10" si="0">AD6+0.01*AE6+0.0001*AF6</f>
        <v>1.9902</v>
      </c>
      <c r="AH6" s="19" t="str">
        <f>I18</f>
        <v>P. Galles</v>
      </c>
      <c r="AI6" s="22" t="s">
        <v>15</v>
      </c>
      <c r="AJ6" s="2"/>
      <c r="AK6" s="7" t="str">
        <f>B14</f>
        <v>Albanie</v>
      </c>
      <c r="AL6" s="7">
        <f>SUM(C14,D10,D12)</f>
        <v>1</v>
      </c>
      <c r="AM6" s="7">
        <f>SUM(C10,C12,D14)</f>
        <v>2</v>
      </c>
      <c r="AN6" s="7">
        <f>SUM(AL6,-AM6)</f>
        <v>-1</v>
      </c>
      <c r="AO6" s="7">
        <f>COUNTIF(F9:F14,B14)*3+COUNTIF(F10,"Égalité")+COUNTIF(F12,"Égalité")+COUNTIF(F14,"Égalité")</f>
        <v>2</v>
      </c>
      <c r="AP6" s="3">
        <f>SUM(AO6,AN6/100,AL6/10000)</f>
        <v>1.9901</v>
      </c>
      <c r="AQ6" s="7" t="str">
        <f>B14</f>
        <v>Albanie</v>
      </c>
    </row>
    <row r="7" spans="1:43" ht="30" customHeight="1" thickBo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234"/>
      <c r="P7" s="235"/>
      <c r="Q7" s="5"/>
      <c r="R7" s="230" t="str">
        <f>IF(P4&lt;&gt;P6,IF(P4&gt;P6,O4,O6),"")</f>
        <v/>
      </c>
      <c r="S7" s="232"/>
      <c r="T7" s="5"/>
      <c r="U7" s="5"/>
      <c r="V7" s="5"/>
      <c r="W7" s="5"/>
      <c r="X7" s="5"/>
      <c r="Y7" s="5"/>
      <c r="Z7" s="6"/>
      <c r="AB7" s="18" t="s">
        <v>16</v>
      </c>
      <c r="AC7" s="19" t="str">
        <f>I24</f>
        <v>Ukraine</v>
      </c>
      <c r="AD7" s="20">
        <f>J24</f>
        <v>2</v>
      </c>
      <c r="AE7" s="20">
        <f>M24</f>
        <v>-1</v>
      </c>
      <c r="AF7" s="20">
        <f>K24</f>
        <v>1</v>
      </c>
      <c r="AG7" s="21">
        <f t="shared" si="0"/>
        <v>1.9901</v>
      </c>
      <c r="AH7" s="19" t="str">
        <f>I24</f>
        <v>Ukraine</v>
      </c>
      <c r="AI7" s="22" t="s">
        <v>16</v>
      </c>
      <c r="AJ7" s="2"/>
      <c r="AK7" s="7" t="str">
        <f>E11</f>
        <v>Suisse</v>
      </c>
      <c r="AL7" s="7">
        <f>SUM(D11,D13,D14)</f>
        <v>2</v>
      </c>
      <c r="AM7" s="7">
        <f>SUM(C11,C13,C14)</f>
        <v>1</v>
      </c>
      <c r="AN7" s="7">
        <f>SUM(AL7,-AM7)</f>
        <v>1</v>
      </c>
      <c r="AO7" s="8">
        <f>COUNTIF(F9:F14,E11)*3+COUNTIF(F11,"Égalité")+COUNTIF(F13:F14,"Égalité")</f>
        <v>6</v>
      </c>
      <c r="AP7" s="3">
        <f>SUM(AO7,AN7/100,AL7/10000)</f>
        <v>6.0102000000000002</v>
      </c>
      <c r="AQ7" s="7" t="str">
        <f>E11</f>
        <v>Suisse</v>
      </c>
    </row>
    <row r="8" spans="1:43" ht="30" customHeight="1" thickBot="1" x14ac:dyDescent="0.3">
      <c r="A8" s="205" t="s">
        <v>7</v>
      </c>
      <c r="B8" s="236" t="s">
        <v>0</v>
      </c>
      <c r="C8" s="237"/>
      <c r="D8" s="237"/>
      <c r="E8" s="237"/>
      <c r="F8" s="205" t="s">
        <v>8</v>
      </c>
      <c r="G8" s="5"/>
      <c r="H8" s="238" t="s">
        <v>9</v>
      </c>
      <c r="I8" s="239"/>
      <c r="J8" s="239"/>
      <c r="K8" s="239"/>
      <c r="L8" s="239"/>
      <c r="M8" s="240"/>
      <c r="N8" s="5"/>
      <c r="O8" s="5"/>
      <c r="P8" s="5"/>
      <c r="Q8" s="5"/>
      <c r="R8" s="231"/>
      <c r="S8" s="233"/>
      <c r="T8" s="5"/>
      <c r="U8" s="5"/>
      <c r="V8" s="5"/>
      <c r="W8" s="5"/>
      <c r="X8" s="5"/>
      <c r="Y8" s="5"/>
      <c r="Z8" s="6"/>
      <c r="AB8" s="18" t="s">
        <v>17</v>
      </c>
      <c r="AC8" s="19" t="str">
        <f>I30</f>
        <v>Turquie</v>
      </c>
      <c r="AD8" s="20">
        <f>J30</f>
        <v>4</v>
      </c>
      <c r="AE8" s="20">
        <f>M30</f>
        <v>0</v>
      </c>
      <c r="AF8" s="20">
        <f>K30</f>
        <v>2</v>
      </c>
      <c r="AG8" s="21">
        <f t="shared" si="0"/>
        <v>4.0002000000000004</v>
      </c>
      <c r="AH8" s="19" t="str">
        <f>I30</f>
        <v>Turquie</v>
      </c>
      <c r="AI8" s="22" t="s">
        <v>17</v>
      </c>
      <c r="AJ8" s="2"/>
      <c r="AK8" s="3"/>
      <c r="AL8" s="3"/>
      <c r="AM8" s="3"/>
      <c r="AN8" s="3"/>
      <c r="AO8" s="3"/>
      <c r="AP8" s="3"/>
      <c r="AQ8" s="3"/>
    </row>
    <row r="9" spans="1:43" ht="30" customHeight="1" thickBot="1" x14ac:dyDescent="0.3">
      <c r="A9" s="227" t="s">
        <v>12</v>
      </c>
      <c r="B9" s="24" t="s">
        <v>52</v>
      </c>
      <c r="C9" s="198">
        <v>1</v>
      </c>
      <c r="D9" s="198">
        <v>0</v>
      </c>
      <c r="E9" s="25" t="str">
        <f>IF(B12&lt;&gt;"Equipe 2",B12,0)</f>
        <v>Roumanie</v>
      </c>
      <c r="F9" s="26" t="str">
        <f t="shared" ref="F9:F44" si="1">IF(C9&gt;D9,B9,IF(C9&lt;D9,E9,IF(C9="","Non joué",IF(C9=D9,"Égalité"))))</f>
        <v>France</v>
      </c>
      <c r="G9" s="27"/>
      <c r="H9" s="23" t="s">
        <v>48</v>
      </c>
      <c r="I9" s="28" t="s">
        <v>1</v>
      </c>
      <c r="J9" s="28" t="s">
        <v>3</v>
      </c>
      <c r="K9" s="11" t="s">
        <v>4</v>
      </c>
      <c r="L9" s="11" t="s">
        <v>5</v>
      </c>
      <c r="M9" s="29" t="s">
        <v>13</v>
      </c>
      <c r="N9" s="5"/>
      <c r="O9" s="5"/>
      <c r="P9" s="5"/>
      <c r="Q9" s="5"/>
      <c r="R9" s="231" t="str">
        <f>IF(P10&lt;&gt;P12,IF(P10&gt;P12,O10,O12),"")</f>
        <v/>
      </c>
      <c r="S9" s="233"/>
      <c r="T9" s="5"/>
      <c r="U9" s="5"/>
      <c r="V9" s="5"/>
      <c r="W9" s="5"/>
      <c r="X9" s="5"/>
      <c r="Y9" s="5"/>
      <c r="Z9" s="6"/>
      <c r="AB9" s="18" t="s">
        <v>18</v>
      </c>
      <c r="AC9" s="19" t="str">
        <f>I36</f>
        <v>Irlande</v>
      </c>
      <c r="AD9" s="20">
        <f>J36</f>
        <v>3</v>
      </c>
      <c r="AE9" s="20">
        <f>M36</f>
        <v>-1</v>
      </c>
      <c r="AF9" s="20">
        <f>K36</f>
        <v>1</v>
      </c>
      <c r="AG9" s="21">
        <f t="shared" si="0"/>
        <v>2.9901000000000004</v>
      </c>
      <c r="AH9" s="19" t="str">
        <f>I36</f>
        <v>Irlande</v>
      </c>
      <c r="AI9" s="22" t="s">
        <v>18</v>
      </c>
      <c r="AJ9" s="2"/>
      <c r="AK9" s="3" t="s">
        <v>1</v>
      </c>
      <c r="AL9" s="7" t="s">
        <v>4</v>
      </c>
      <c r="AM9" s="7" t="s">
        <v>5</v>
      </c>
      <c r="AN9" s="8" t="s">
        <v>13</v>
      </c>
      <c r="AO9" s="7" t="s">
        <v>3</v>
      </c>
      <c r="AP9" s="3" t="s">
        <v>14</v>
      </c>
      <c r="AQ9" s="7" t="s">
        <v>1</v>
      </c>
    </row>
    <row r="10" spans="1:43" ht="30" customHeight="1" thickBot="1" x14ac:dyDescent="0.3">
      <c r="A10" s="228"/>
      <c r="B10" s="30" t="str">
        <f>IF(B9&lt;&gt;"Equipe 1",B9,0)</f>
        <v>France</v>
      </c>
      <c r="C10" s="199">
        <v>0</v>
      </c>
      <c r="D10" s="199">
        <v>0</v>
      </c>
      <c r="E10" s="30" t="str">
        <f>IF(B14&lt;&gt;"Equipe 3",B14,0)</f>
        <v>Albanie</v>
      </c>
      <c r="F10" s="31" t="str">
        <f t="shared" si="1"/>
        <v>Égalité</v>
      </c>
      <c r="G10" s="27"/>
      <c r="H10" s="32">
        <v>1</v>
      </c>
      <c r="I10" s="33" t="str">
        <f>VLOOKUP(MAX(AP4:AP7),AP4:AQ7,2,FALSE)</f>
        <v>France</v>
      </c>
      <c r="J10" s="34">
        <f>VLOOKUP(I10,AK4:AO7,5,FALSE)</f>
        <v>7</v>
      </c>
      <c r="K10" s="34">
        <f>VLOOKUP(I10,AK4:AL7,2,FALSE)</f>
        <v>2</v>
      </c>
      <c r="L10" s="34">
        <f>VLOOKUP(I10,AK4:AM7,3,FALSE)</f>
        <v>0</v>
      </c>
      <c r="M10" s="35">
        <f>VLOOKUP(I10,AK4:AN7,4,FALSE)</f>
        <v>2</v>
      </c>
      <c r="N10" s="5"/>
      <c r="O10" s="230" t="str">
        <f>I28</f>
        <v>Espagne</v>
      </c>
      <c r="P10" s="232"/>
      <c r="Q10" s="5"/>
      <c r="R10" s="234"/>
      <c r="S10" s="235"/>
      <c r="T10" s="5"/>
      <c r="U10" s="5"/>
      <c r="V10" s="5"/>
      <c r="W10" s="5"/>
      <c r="X10" s="5"/>
      <c r="Y10" s="5"/>
      <c r="Z10" s="6"/>
      <c r="AB10" s="36" t="s">
        <v>19</v>
      </c>
      <c r="AC10" s="37" t="str">
        <f>I42</f>
        <v>Islande</v>
      </c>
      <c r="AD10" s="38">
        <f>J42</f>
        <v>3</v>
      </c>
      <c r="AE10" s="38">
        <f>M42</f>
        <v>1</v>
      </c>
      <c r="AF10" s="38">
        <f>K42</f>
        <v>4</v>
      </c>
      <c r="AG10" s="39">
        <f t="shared" si="0"/>
        <v>3.0103999999999997</v>
      </c>
      <c r="AH10" s="37" t="str">
        <f>I42</f>
        <v>Islande</v>
      </c>
      <c r="AI10" s="40" t="s">
        <v>19</v>
      </c>
      <c r="AJ10" s="2"/>
      <c r="AK10" s="3" t="str">
        <f>B15</f>
        <v>Angleterre</v>
      </c>
      <c r="AL10" s="7">
        <f>SUM(C15:C17)</f>
        <v>3</v>
      </c>
      <c r="AM10" s="7">
        <f>SUM(D15:D17)</f>
        <v>0</v>
      </c>
      <c r="AN10" s="7">
        <f>SUM(AL10,-AM10)</f>
        <v>3</v>
      </c>
      <c r="AO10" s="7">
        <f>COUNTIF(F15:F20,B15)*3+COUNTIF(F15:F17,"Égalité")</f>
        <v>9</v>
      </c>
      <c r="AP10" s="3">
        <f>SUM(AO10,AN10/100,AL10/10000)</f>
        <v>9.0302999999999987</v>
      </c>
      <c r="AQ10" s="7" t="str">
        <f>B15</f>
        <v>Angleterre</v>
      </c>
    </row>
    <row r="11" spans="1:43" ht="30" customHeight="1" x14ac:dyDescent="0.25">
      <c r="A11" s="228"/>
      <c r="B11" s="30" t="str">
        <f>IF(B9&lt;&gt;"Equipe 1",B9,0)</f>
        <v>France</v>
      </c>
      <c r="C11" s="199">
        <v>1</v>
      </c>
      <c r="D11" s="199">
        <v>0</v>
      </c>
      <c r="E11" s="41" t="s">
        <v>64</v>
      </c>
      <c r="F11" s="31" t="str">
        <f t="shared" si="1"/>
        <v>France</v>
      </c>
      <c r="G11" s="27"/>
      <c r="H11" s="42">
        <v>2</v>
      </c>
      <c r="I11" s="43" t="str">
        <f>VLOOKUP(LARGE(AP4:AP7,2),AP4:AQ7,2,FALSE)</f>
        <v>Suisse</v>
      </c>
      <c r="J11" s="44">
        <f>VLOOKUP(I11,AK4:AO7,5,FALSE)</f>
        <v>6</v>
      </c>
      <c r="K11" s="44">
        <f>VLOOKUP(I11,AK4:AL7,2,FALSE)</f>
        <v>2</v>
      </c>
      <c r="L11" s="44">
        <f>VLOOKUP(I11,AK4:AM7,3,FALSE)</f>
        <v>1</v>
      </c>
      <c r="M11" s="45">
        <f>VLOOKUP(I11,AK4:AN7,4,FALSE)</f>
        <v>1</v>
      </c>
      <c r="N11" s="5"/>
      <c r="O11" s="231"/>
      <c r="P11" s="233"/>
      <c r="Q11" s="5"/>
      <c r="R11" s="5"/>
      <c r="S11" s="5"/>
      <c r="T11" s="5"/>
      <c r="U11" s="5"/>
      <c r="V11" s="5"/>
      <c r="W11" s="5"/>
      <c r="X11" s="5"/>
      <c r="Y11" s="5"/>
      <c r="Z11" s="6"/>
      <c r="AJ11" s="2"/>
      <c r="AK11" s="7" t="str">
        <f>B18</f>
        <v>Russie</v>
      </c>
      <c r="AL11" s="7">
        <f>SUM(C18,C19,D15)</f>
        <v>1</v>
      </c>
      <c r="AM11" s="7">
        <f>SUM(C15,D18,D19)</f>
        <v>3</v>
      </c>
      <c r="AN11" s="7">
        <f t="shared" ref="AN11:AN13" si="2">SUM(AL11,-AM11)</f>
        <v>-2</v>
      </c>
      <c r="AO11" s="7">
        <f>COUNTIF(F15:F20,B18)*3+COUNTIF(F15,"Égalité")+COUNTIF(F18:F19,"Égalité")</f>
        <v>1</v>
      </c>
      <c r="AP11" s="3">
        <f t="shared" ref="AP11:AP13" si="3">SUM(AO11,AN11/100,AL11/10000)</f>
        <v>0.98009999999999997</v>
      </c>
      <c r="AQ11" s="7" t="str">
        <f>B18</f>
        <v>Russie</v>
      </c>
    </row>
    <row r="12" spans="1:43" ht="30" customHeight="1" thickBot="1" x14ac:dyDescent="0.3">
      <c r="A12" s="228"/>
      <c r="B12" s="30" t="s">
        <v>65</v>
      </c>
      <c r="C12" s="199">
        <v>1</v>
      </c>
      <c r="D12" s="199">
        <v>1</v>
      </c>
      <c r="E12" s="41" t="str">
        <f>IF(B14&lt;&gt;"Equipe 3",B14,0)</f>
        <v>Albanie</v>
      </c>
      <c r="F12" s="31" t="str">
        <f t="shared" si="1"/>
        <v>Égalité</v>
      </c>
      <c r="G12" s="27"/>
      <c r="H12" s="31">
        <v>3</v>
      </c>
      <c r="I12" s="46" t="str">
        <f>VLOOKUP(LARGE(AP4:AP7,3),AP4:AQ7,2,FALSE)</f>
        <v>Albanie</v>
      </c>
      <c r="J12" s="30">
        <f>VLOOKUP(I12,AK4:AO7,5,FALSE)</f>
        <v>2</v>
      </c>
      <c r="K12" s="30">
        <f>VLOOKUP(I12,AK4:AL7,2,FALSE)</f>
        <v>1</v>
      </c>
      <c r="L12" s="30">
        <f>VLOOKUP(I12,AK4:AM7,3,FALSE)</f>
        <v>2</v>
      </c>
      <c r="M12" s="41">
        <f>VLOOKUP(I12,AK4:AN7,4,FALSE)</f>
        <v>-1</v>
      </c>
      <c r="N12" s="5"/>
      <c r="O12" s="231" t="str">
        <f>AP62</f>
        <v>Islande</v>
      </c>
      <c r="P12" s="233"/>
      <c r="Q12" s="5"/>
      <c r="R12" s="5"/>
      <c r="S12" s="5"/>
      <c r="T12" s="5"/>
      <c r="U12" s="5"/>
      <c r="V12" s="5"/>
      <c r="W12" s="5"/>
      <c r="X12" s="5"/>
      <c r="Y12" s="5"/>
      <c r="Z12" s="6"/>
      <c r="AJ12" s="2"/>
      <c r="AK12" s="7" t="str">
        <f>B20</f>
        <v>P. Galles</v>
      </c>
      <c r="AL12" s="7">
        <f>SUM(C20,D16,D18)</f>
        <v>2</v>
      </c>
      <c r="AM12" s="7">
        <f>SUM(C16,C18,D20)</f>
        <v>3</v>
      </c>
      <c r="AN12" s="7">
        <f t="shared" si="2"/>
        <v>-1</v>
      </c>
      <c r="AO12" s="7">
        <f>COUNTIF(F15:F20,B20)*3+COUNTIF(F16,"Égalité")+COUNTIF(F18,"Égalité")+COUNTIF(F20,"Égalité")</f>
        <v>2</v>
      </c>
      <c r="AP12" s="3">
        <f t="shared" si="3"/>
        <v>1.9902</v>
      </c>
      <c r="AQ12" s="7" t="str">
        <f>B20</f>
        <v>P. Galles</v>
      </c>
    </row>
    <row r="13" spans="1:43" ht="30" customHeight="1" thickBot="1" x14ac:dyDescent="0.3">
      <c r="A13" s="228"/>
      <c r="B13" s="30" t="str">
        <f>IF(B12&lt;&gt;"Equipe 2",B12,0)</f>
        <v>Roumanie</v>
      </c>
      <c r="C13" s="199">
        <v>0</v>
      </c>
      <c r="D13" s="199">
        <v>1</v>
      </c>
      <c r="E13" s="41" t="str">
        <f>IF(E11&lt;&gt;"Equipe 4",E11,0)</f>
        <v>Suisse</v>
      </c>
      <c r="F13" s="31" t="str">
        <f t="shared" si="1"/>
        <v>Suisse</v>
      </c>
      <c r="G13" s="27"/>
      <c r="H13" s="47">
        <v>4</v>
      </c>
      <c r="I13" s="48" t="str">
        <f>VLOOKUP(LARGE(AP4:AP7,4),AP4:AQ7,2,FALSE)</f>
        <v>Roumanie</v>
      </c>
      <c r="J13" s="49">
        <f>VLOOKUP(I13,AK4:AO7,5,FALSE)</f>
        <v>1</v>
      </c>
      <c r="K13" s="50">
        <f>VLOOKUP(I13,AK4:AL7,2,FALSE)</f>
        <v>1</v>
      </c>
      <c r="L13" s="50">
        <f>VLOOKUP(I13,AK4:AM7,3,FALSE)</f>
        <v>3</v>
      </c>
      <c r="M13" s="51">
        <f>VLOOKUP(I13,AK4:AN7,4,FALSE)</f>
        <v>-2</v>
      </c>
      <c r="N13" s="5"/>
      <c r="O13" s="234"/>
      <c r="P13" s="235"/>
      <c r="Q13" s="5"/>
      <c r="R13" s="5"/>
      <c r="S13" s="5"/>
      <c r="T13" s="5"/>
      <c r="U13" s="230" t="str">
        <f>IF(S7&lt;&gt;S9,IF(S7&gt;S9,R7,R9),"")</f>
        <v/>
      </c>
      <c r="V13" s="232"/>
      <c r="W13" s="5"/>
      <c r="X13" s="5"/>
      <c r="Y13" s="5"/>
      <c r="Z13" s="6"/>
      <c r="AJ13" s="2"/>
      <c r="AK13" s="7" t="str">
        <f>E17</f>
        <v>Slovaquie</v>
      </c>
      <c r="AL13" s="7">
        <f>SUM(D17,D19,D20)</f>
        <v>2</v>
      </c>
      <c r="AM13" s="7">
        <f>SUM(C17,C19,C20)</f>
        <v>2</v>
      </c>
      <c r="AN13" s="7">
        <f t="shared" si="2"/>
        <v>0</v>
      </c>
      <c r="AO13" s="8">
        <f>COUNTIF(F15:F20,E17)*3+COUNTIF(F17,"Égalité")+COUNTIF(F19:F20,"Égalité")</f>
        <v>4</v>
      </c>
      <c r="AP13" s="3">
        <f t="shared" si="3"/>
        <v>4.0002000000000004</v>
      </c>
      <c r="AQ13" s="7" t="str">
        <f>E17</f>
        <v>Slovaquie</v>
      </c>
    </row>
    <row r="14" spans="1:43" ht="30" customHeight="1" thickBot="1" x14ac:dyDescent="0.3">
      <c r="A14" s="229"/>
      <c r="B14" s="50" t="s">
        <v>53</v>
      </c>
      <c r="C14" s="200">
        <v>0</v>
      </c>
      <c r="D14" s="200">
        <v>1</v>
      </c>
      <c r="E14" s="51" t="str">
        <f>IF(E11&lt;&gt;"Equipe 4",E11,0)</f>
        <v>Suisse</v>
      </c>
      <c r="F14" s="47" t="str">
        <f t="shared" si="1"/>
        <v>Suisse</v>
      </c>
      <c r="G14" s="27"/>
      <c r="H14" s="5"/>
      <c r="I14" s="5"/>
      <c r="J14" s="5"/>
      <c r="K14" s="5"/>
      <c r="L14" s="5"/>
      <c r="M14" s="5"/>
      <c r="N14" s="5"/>
      <c r="O14" s="5" t="s">
        <v>20</v>
      </c>
      <c r="P14" s="5"/>
      <c r="Q14" s="5"/>
      <c r="R14" s="5"/>
      <c r="S14" s="5"/>
      <c r="T14" s="5"/>
      <c r="U14" s="231"/>
      <c r="V14" s="233"/>
      <c r="W14" s="5"/>
      <c r="X14" s="5"/>
      <c r="Y14" s="5"/>
      <c r="Z14" s="6"/>
      <c r="AJ14" s="2"/>
      <c r="AK14" s="3"/>
      <c r="AL14" s="3"/>
      <c r="AM14" s="3"/>
      <c r="AN14" s="3"/>
      <c r="AO14" s="3"/>
      <c r="AP14" s="3"/>
      <c r="AQ14" s="3"/>
    </row>
    <row r="15" spans="1:43" ht="30" customHeight="1" thickBot="1" x14ac:dyDescent="0.3">
      <c r="A15" s="250" t="s">
        <v>15</v>
      </c>
      <c r="B15" s="52" t="s">
        <v>54</v>
      </c>
      <c r="C15" s="198">
        <v>1</v>
      </c>
      <c r="D15" s="198">
        <v>0</v>
      </c>
      <c r="E15" s="53" t="str">
        <f>B18</f>
        <v>Russie</v>
      </c>
      <c r="F15" s="54" t="str">
        <f t="shared" si="1"/>
        <v>Angleterre</v>
      </c>
      <c r="G15" s="27"/>
      <c r="H15" s="23" t="s">
        <v>48</v>
      </c>
      <c r="I15" s="28" t="s">
        <v>1</v>
      </c>
      <c r="J15" s="28" t="s">
        <v>3</v>
      </c>
      <c r="K15" s="11" t="s">
        <v>4</v>
      </c>
      <c r="L15" s="11" t="s">
        <v>5</v>
      </c>
      <c r="M15" s="29" t="s">
        <v>13</v>
      </c>
      <c r="N15" s="5"/>
      <c r="O15" s="5"/>
      <c r="P15" s="5"/>
      <c r="Q15" s="5"/>
      <c r="R15" s="5"/>
      <c r="S15" s="5"/>
      <c r="T15" s="5"/>
      <c r="U15" s="231" t="str">
        <f>IF(S19&lt;&gt;S21,IF(S19&gt;S21,R19,R21),"")</f>
        <v/>
      </c>
      <c r="V15" s="233"/>
      <c r="W15" s="5"/>
      <c r="X15" s="5"/>
      <c r="Y15" s="5"/>
      <c r="Z15" s="6"/>
      <c r="AJ15" s="2"/>
      <c r="AK15" s="3" t="s">
        <v>1</v>
      </c>
      <c r="AL15" s="7" t="s">
        <v>4</v>
      </c>
      <c r="AM15" s="7" t="s">
        <v>5</v>
      </c>
      <c r="AN15" s="8" t="s">
        <v>13</v>
      </c>
      <c r="AO15" s="7" t="s">
        <v>3</v>
      </c>
      <c r="AP15" s="3" t="s">
        <v>14</v>
      </c>
      <c r="AQ15" s="7" t="s">
        <v>1</v>
      </c>
    </row>
    <row r="16" spans="1:43" ht="30" customHeight="1" thickBot="1" x14ac:dyDescent="0.3">
      <c r="A16" s="251"/>
      <c r="B16" s="55" t="str">
        <f>B15</f>
        <v>Angleterre</v>
      </c>
      <c r="C16" s="199">
        <v>1</v>
      </c>
      <c r="D16" s="199">
        <v>0</v>
      </c>
      <c r="E16" s="56" t="str">
        <f>B20</f>
        <v>P. Galles</v>
      </c>
      <c r="F16" s="57" t="str">
        <f t="shared" si="1"/>
        <v>Angleterre</v>
      </c>
      <c r="G16" s="27"/>
      <c r="H16" s="58">
        <v>1</v>
      </c>
      <c r="I16" s="59" t="str">
        <f>VLOOKUP(MAX(AP10:AP13),AP10:AQ13,2,FALSE)</f>
        <v>Angleterre</v>
      </c>
      <c r="J16" s="60">
        <f>VLOOKUP(I16,AK10:AO13,5,FALSE)</f>
        <v>9</v>
      </c>
      <c r="K16" s="60">
        <f>VLOOKUP(I16,AK10:AL13,2,FALSE)</f>
        <v>3</v>
      </c>
      <c r="L16" s="60">
        <f>VLOOKUP(I16,AK10:AM13,3,FALSE)</f>
        <v>0</v>
      </c>
      <c r="M16" s="61">
        <f>VLOOKUP(I16,AK10:AN13,4,FALSE)</f>
        <v>3</v>
      </c>
      <c r="N16" s="5"/>
      <c r="O16" s="230" t="str">
        <f>I16</f>
        <v>Angleterre</v>
      </c>
      <c r="P16" s="232"/>
      <c r="Q16" s="5"/>
      <c r="R16" s="5"/>
      <c r="S16" s="5"/>
      <c r="T16" s="5"/>
      <c r="U16" s="234"/>
      <c r="V16" s="235"/>
      <c r="W16" s="5"/>
      <c r="X16" s="5"/>
      <c r="Y16" s="5"/>
      <c r="Z16" s="6"/>
      <c r="AB16" s="245" t="s">
        <v>25</v>
      </c>
      <c r="AC16" s="248"/>
      <c r="AD16" s="248"/>
      <c r="AE16" s="248"/>
      <c r="AF16" s="248"/>
      <c r="AG16" s="249"/>
      <c r="AH16" s="2"/>
      <c r="AJ16" s="2"/>
      <c r="AK16" s="3" t="str">
        <f>B21</f>
        <v>Allemagne</v>
      </c>
      <c r="AL16" s="7">
        <f>SUM(C21:C23)</f>
        <v>3</v>
      </c>
      <c r="AM16" s="7">
        <f>SUM(D21:D23)</f>
        <v>0</v>
      </c>
      <c r="AN16" s="7">
        <f>SUM(AL16,-AM16)</f>
        <v>3</v>
      </c>
      <c r="AO16" s="7">
        <f>COUNTIF(F21:F26,B21)*3+COUNTIF(F21:F23,"Égalité")</f>
        <v>9</v>
      </c>
      <c r="AP16" s="3">
        <f>SUM(AO16,AN16/100,AL16/10000)</f>
        <v>9.0302999999999987</v>
      </c>
      <c r="AQ16" s="7" t="str">
        <f>B21</f>
        <v>Allemagne</v>
      </c>
    </row>
    <row r="17" spans="1:43" ht="30" customHeight="1" thickBot="1" x14ac:dyDescent="0.3">
      <c r="A17" s="251"/>
      <c r="B17" s="55" t="str">
        <f>B15</f>
        <v>Angleterre</v>
      </c>
      <c r="C17" s="199">
        <v>1</v>
      </c>
      <c r="D17" s="199">
        <v>0</v>
      </c>
      <c r="E17" s="56" t="s">
        <v>66</v>
      </c>
      <c r="F17" s="57" t="str">
        <f t="shared" si="1"/>
        <v>Angleterre</v>
      </c>
      <c r="G17" s="27"/>
      <c r="H17" s="62">
        <v>2</v>
      </c>
      <c r="I17" s="63" t="str">
        <f>VLOOKUP(LARGE(AP10:AP13,2),AP10:AQ13,2,FALSE)</f>
        <v>Slovaquie</v>
      </c>
      <c r="J17" s="64">
        <f>VLOOKUP(I17,AK10:AO13,5,FALSE)</f>
        <v>4</v>
      </c>
      <c r="K17" s="64">
        <f>VLOOKUP(I17,AK10:AL13,2,FALSE)</f>
        <v>2</v>
      </c>
      <c r="L17" s="64">
        <f>VLOOKUP(I17,AK10:AM13,3,FALSE)</f>
        <v>2</v>
      </c>
      <c r="M17" s="65">
        <f>VLOOKUP(I17,AK10:AN13,4,FALSE)</f>
        <v>0</v>
      </c>
      <c r="N17" s="5"/>
      <c r="O17" s="231"/>
      <c r="P17" s="233"/>
      <c r="Q17" s="5"/>
      <c r="R17" s="5"/>
      <c r="S17" s="5"/>
      <c r="T17" s="5"/>
      <c r="U17" s="5"/>
      <c r="V17" s="5"/>
      <c r="W17" s="5"/>
      <c r="X17" s="5"/>
      <c r="Y17" s="5"/>
      <c r="Z17" s="6"/>
      <c r="AB17" s="28" t="s">
        <v>23</v>
      </c>
      <c r="AC17" s="10" t="s">
        <v>24</v>
      </c>
      <c r="AD17" s="11" t="s">
        <v>22</v>
      </c>
      <c r="AE17" s="11" t="s">
        <v>3</v>
      </c>
      <c r="AF17" s="11" t="str">
        <f>"+/-"</f>
        <v>+/-</v>
      </c>
      <c r="AG17" s="13" t="s">
        <v>4</v>
      </c>
      <c r="AH17" s="2"/>
      <c r="AJ17" s="2"/>
      <c r="AK17" s="7" t="str">
        <f>B24</f>
        <v>Ukraine</v>
      </c>
      <c r="AL17" s="7">
        <f>SUM(C24,C25,D21)</f>
        <v>1</v>
      </c>
      <c r="AM17" s="7">
        <f>SUM(C21,D24,D25)</f>
        <v>2</v>
      </c>
      <c r="AN17" s="7">
        <f t="shared" ref="AN17:AN19" si="4">SUM(AL17,-AM17)</f>
        <v>-1</v>
      </c>
      <c r="AO17" s="7">
        <f>COUNTIF(F21:F26,B24)*3+COUNTIF(F21,"Égalité")+COUNTIF(F24:F25,"Égalité")</f>
        <v>2</v>
      </c>
      <c r="AP17" s="3">
        <f t="shared" ref="AP17:AP19" si="5">SUM(AO17,AN17/100,AL17/10000)</f>
        <v>1.9901</v>
      </c>
      <c r="AQ17" s="7" t="str">
        <f>B24</f>
        <v>Ukraine</v>
      </c>
    </row>
    <row r="18" spans="1:43" ht="30" customHeight="1" thickBot="1" x14ac:dyDescent="0.3">
      <c r="A18" s="251"/>
      <c r="B18" s="55" t="s">
        <v>67</v>
      </c>
      <c r="C18" s="199">
        <v>1</v>
      </c>
      <c r="D18" s="199">
        <v>1</v>
      </c>
      <c r="E18" s="56" t="str">
        <f>B20</f>
        <v>P. Galles</v>
      </c>
      <c r="F18" s="57" t="str">
        <f t="shared" si="1"/>
        <v>Égalité</v>
      </c>
      <c r="G18" s="27"/>
      <c r="H18" s="57">
        <v>3</v>
      </c>
      <c r="I18" s="66" t="str">
        <f>VLOOKUP(LARGE(AP10:AP13,3),AP10:AQ13,2,FALSE)</f>
        <v>P. Galles</v>
      </c>
      <c r="J18" s="56">
        <f>VLOOKUP(I18,AK10:AO13,5,FALSE)</f>
        <v>2</v>
      </c>
      <c r="K18" s="56">
        <f>VLOOKUP(I18,AK10:AL13,2,FALSE)</f>
        <v>2</v>
      </c>
      <c r="L18" s="56">
        <f>VLOOKUP(I18,AK10:AM13,3,FALSE)</f>
        <v>3</v>
      </c>
      <c r="M18" s="67">
        <f>VLOOKUP(I18,AK10:AN13,4,FALSE)</f>
        <v>-1</v>
      </c>
      <c r="N18" s="5"/>
      <c r="O18" s="231" t="str">
        <f>AN62</f>
        <v>Turquie</v>
      </c>
      <c r="P18" s="233"/>
      <c r="Q18" s="5"/>
      <c r="R18" s="5"/>
      <c r="S18" s="5"/>
      <c r="T18" s="5"/>
      <c r="U18" s="5"/>
      <c r="V18" s="5"/>
      <c r="W18" s="5"/>
      <c r="X18" s="5"/>
      <c r="Y18" s="5"/>
      <c r="Z18" s="6"/>
      <c r="AB18" s="68">
        <v>1</v>
      </c>
      <c r="AC18" s="69" t="str">
        <f>VLOOKUP(AD18,$AH$5:$AQ$10,2,FALSE)</f>
        <v>D</v>
      </c>
      <c r="AD18" s="70" t="str">
        <f>VLOOKUP(MAX(AG5:AG10),AG5:AH10,2,FALSE)</f>
        <v>Turquie</v>
      </c>
      <c r="AE18" s="71">
        <f>VLOOKUP(AD18,$AC$5:$AF$10,2,FALSE)</f>
        <v>4</v>
      </c>
      <c r="AF18" s="71">
        <f t="shared" ref="AF18:AF23" si="6">VLOOKUP($AD18,$AC$5:$AF$10,3,FALSE)</f>
        <v>0</v>
      </c>
      <c r="AG18" s="72">
        <f t="shared" ref="AG18:AG23" si="7">VLOOKUP($AD18,$AC$5:$AF$10,4,FALSE)</f>
        <v>2</v>
      </c>
      <c r="AH18" s="2"/>
      <c r="AJ18" s="2"/>
      <c r="AK18" s="7" t="str">
        <f>B26</f>
        <v>Pologne</v>
      </c>
      <c r="AL18" s="7">
        <f>SUM(C26,D22,D24)</f>
        <v>0</v>
      </c>
      <c r="AM18" s="7">
        <f>SUM(C22,C24,D26)</f>
        <v>2</v>
      </c>
      <c r="AN18" s="7">
        <f t="shared" si="4"/>
        <v>-2</v>
      </c>
      <c r="AO18" s="7">
        <f>COUNTIF(F21:F26,B26)*3+COUNTIF(F22,"Égalité")+COUNTIF(F24,"Égalité")+COUNTIF(F26,"Égalité")</f>
        <v>1</v>
      </c>
      <c r="AP18" s="3">
        <f t="shared" si="5"/>
        <v>0.98</v>
      </c>
      <c r="AQ18" s="7" t="str">
        <f>B26</f>
        <v>Pologne</v>
      </c>
    </row>
    <row r="19" spans="1:43" ht="30" customHeight="1" thickBot="1" x14ac:dyDescent="0.3">
      <c r="A19" s="251"/>
      <c r="B19" s="55" t="str">
        <f>B18</f>
        <v>Russie</v>
      </c>
      <c r="C19" s="199">
        <v>0</v>
      </c>
      <c r="D19" s="199">
        <v>1</v>
      </c>
      <c r="E19" s="56" t="str">
        <f>E17</f>
        <v>Slovaquie</v>
      </c>
      <c r="F19" s="57" t="str">
        <f t="shared" si="1"/>
        <v>Slovaquie</v>
      </c>
      <c r="G19" s="27"/>
      <c r="H19" s="73">
        <v>4</v>
      </c>
      <c r="I19" s="74" t="str">
        <f>VLOOKUP(LARGE(AP10:AP13,4),AP10:AQ13,2,FALSE)</f>
        <v>Russie</v>
      </c>
      <c r="J19" s="75">
        <f>VLOOKUP(I19,AK10:AO13,5,FALSE)</f>
        <v>1</v>
      </c>
      <c r="K19" s="76">
        <f>VLOOKUP(I19,AK10:AL13,2,FALSE)</f>
        <v>1</v>
      </c>
      <c r="L19" s="76">
        <f>VLOOKUP(I19,AK10:AM13,3,FALSE)</f>
        <v>3</v>
      </c>
      <c r="M19" s="77">
        <f>VLOOKUP(I19,AK10:AN13,4,FALSE)</f>
        <v>-2</v>
      </c>
      <c r="N19" s="5"/>
      <c r="O19" s="234"/>
      <c r="P19" s="235"/>
      <c r="Q19" s="5"/>
      <c r="R19" s="230" t="str">
        <f>IF(P16&lt;&gt;P18,IF(P16&gt;P18,O16,O18),"")</f>
        <v/>
      </c>
      <c r="S19" s="232"/>
      <c r="T19" s="5"/>
      <c r="U19" s="5"/>
      <c r="V19" s="5"/>
      <c r="W19" s="5"/>
      <c r="X19" s="5"/>
      <c r="Y19" s="5"/>
      <c r="Z19" s="6"/>
      <c r="AB19" s="78">
        <v>2</v>
      </c>
      <c r="AC19" s="79" t="str">
        <f t="shared" ref="AC19:AC23" si="8">VLOOKUP(AD19,$AH$5:$AQ$10,2,FALSE)</f>
        <v>F</v>
      </c>
      <c r="AD19" s="80" t="str">
        <f>VLOOKUP(LARGE(AG5:AG10,2),AG5:AH10,2,FALSE)</f>
        <v>Islande</v>
      </c>
      <c r="AE19" s="81">
        <f t="shared" ref="AE19:AE23" si="9">VLOOKUP(AD19,$AC$5:$AF$10,2,FALSE)</f>
        <v>3</v>
      </c>
      <c r="AF19" s="81">
        <f t="shared" si="6"/>
        <v>1</v>
      </c>
      <c r="AG19" s="82">
        <f t="shared" si="7"/>
        <v>4</v>
      </c>
      <c r="AH19" s="2"/>
      <c r="AJ19" s="2"/>
      <c r="AK19" s="7" t="str">
        <f>E23</f>
        <v>Irlande N.</v>
      </c>
      <c r="AL19" s="7">
        <f>SUM(D23,D25,D26)</f>
        <v>2</v>
      </c>
      <c r="AM19" s="7">
        <f>SUM(C23,C25,C26)</f>
        <v>2</v>
      </c>
      <c r="AN19" s="7">
        <f t="shared" si="4"/>
        <v>0</v>
      </c>
      <c r="AO19" s="8">
        <f>COUNTIF(F21:F26,E23)*3+COUNTIF(F23,"Égalité")+COUNTIF(F25:F26,"Égalité")</f>
        <v>4</v>
      </c>
      <c r="AP19" s="3">
        <f t="shared" si="5"/>
        <v>4.0002000000000004</v>
      </c>
      <c r="AQ19" s="7" t="str">
        <f>E23</f>
        <v>Irlande N.</v>
      </c>
    </row>
    <row r="20" spans="1:43" ht="30" customHeight="1" thickBot="1" x14ac:dyDescent="0.3">
      <c r="A20" s="252"/>
      <c r="B20" s="83" t="s">
        <v>55</v>
      </c>
      <c r="C20" s="200">
        <v>1</v>
      </c>
      <c r="D20" s="200">
        <v>1</v>
      </c>
      <c r="E20" s="76" t="str">
        <f>E17</f>
        <v>Slovaquie</v>
      </c>
      <c r="F20" s="73" t="str">
        <f t="shared" si="1"/>
        <v>Égalité</v>
      </c>
      <c r="G20" s="27"/>
      <c r="H20" s="5"/>
      <c r="I20" s="5"/>
      <c r="J20" s="5"/>
      <c r="K20" s="5"/>
      <c r="L20" s="5"/>
      <c r="M20" s="5"/>
      <c r="N20" s="5"/>
      <c r="O20" s="5"/>
      <c r="P20" s="5"/>
      <c r="Q20" s="5"/>
      <c r="R20" s="231"/>
      <c r="S20" s="233"/>
      <c r="T20" s="5"/>
      <c r="U20" s="5"/>
      <c r="V20" s="5"/>
      <c r="W20" s="5"/>
      <c r="X20" s="5"/>
      <c r="Y20" s="5"/>
      <c r="Z20" s="6"/>
      <c r="AB20" s="78">
        <v>3</v>
      </c>
      <c r="AC20" s="79" t="str">
        <f t="shared" si="8"/>
        <v>E</v>
      </c>
      <c r="AD20" s="80" t="str">
        <f>VLOOKUP(LARGE(AG5:AG10,3),AG5:AH10,2,FALSE)</f>
        <v>Irlande</v>
      </c>
      <c r="AE20" s="81">
        <f t="shared" si="9"/>
        <v>3</v>
      </c>
      <c r="AF20" s="81">
        <f t="shared" si="6"/>
        <v>-1</v>
      </c>
      <c r="AG20" s="82">
        <f t="shared" si="7"/>
        <v>1</v>
      </c>
      <c r="AH20" s="2"/>
      <c r="AJ20" s="2"/>
      <c r="AK20" s="3"/>
      <c r="AL20" s="3"/>
      <c r="AM20" s="3"/>
      <c r="AN20" s="3"/>
      <c r="AO20" s="3"/>
      <c r="AP20" s="3"/>
      <c r="AQ20" s="3"/>
    </row>
    <row r="21" spans="1:43" ht="30" customHeight="1" thickBot="1" x14ac:dyDescent="0.3">
      <c r="A21" s="264" t="s">
        <v>16</v>
      </c>
      <c r="B21" s="84" t="s">
        <v>56</v>
      </c>
      <c r="C21" s="198">
        <v>1</v>
      </c>
      <c r="D21" s="198">
        <v>0</v>
      </c>
      <c r="E21" s="85" t="str">
        <f>B24</f>
        <v>Ukraine</v>
      </c>
      <c r="F21" s="86" t="str">
        <f t="shared" si="1"/>
        <v>Allemagne</v>
      </c>
      <c r="G21" s="27"/>
      <c r="H21" s="23" t="s">
        <v>48</v>
      </c>
      <c r="I21" s="28" t="s">
        <v>1</v>
      </c>
      <c r="J21" s="28" t="s">
        <v>3</v>
      </c>
      <c r="K21" s="11" t="s">
        <v>4</v>
      </c>
      <c r="L21" s="11" t="s">
        <v>5</v>
      </c>
      <c r="M21" s="29" t="s">
        <v>13</v>
      </c>
      <c r="N21" s="5"/>
      <c r="O21" s="5"/>
      <c r="P21" s="5"/>
      <c r="Q21" s="5"/>
      <c r="R21" s="231" t="str">
        <f>IF(P22&lt;&gt;P24,IF(P22&gt;P24,O22,O24),"")</f>
        <v/>
      </c>
      <c r="S21" s="233"/>
      <c r="T21" s="5"/>
      <c r="U21" s="5"/>
      <c r="V21" s="5"/>
      <c r="W21" s="5"/>
      <c r="X21" s="5"/>
      <c r="Y21" s="5"/>
      <c r="Z21" s="6"/>
      <c r="AB21" s="78">
        <v>4</v>
      </c>
      <c r="AC21" s="79" t="str">
        <f t="shared" si="8"/>
        <v>B</v>
      </c>
      <c r="AD21" s="80" t="str">
        <f>VLOOKUP(LARGE(AG5:AG10,4),AG5:AH10,2,FALSE)</f>
        <v>P. Galles</v>
      </c>
      <c r="AE21" s="81">
        <f t="shared" si="9"/>
        <v>2</v>
      </c>
      <c r="AF21" s="81">
        <f t="shared" si="6"/>
        <v>-1</v>
      </c>
      <c r="AG21" s="82">
        <f t="shared" si="7"/>
        <v>2</v>
      </c>
      <c r="AH21" s="2"/>
      <c r="AJ21" s="2"/>
      <c r="AK21" s="3" t="s">
        <v>1</v>
      </c>
      <c r="AL21" s="7" t="s">
        <v>4</v>
      </c>
      <c r="AM21" s="7" t="s">
        <v>5</v>
      </c>
      <c r="AN21" s="8" t="s">
        <v>13</v>
      </c>
      <c r="AO21" s="7" t="s">
        <v>3</v>
      </c>
      <c r="AP21" s="3" t="s">
        <v>14</v>
      </c>
      <c r="AQ21" s="7" t="s">
        <v>1</v>
      </c>
    </row>
    <row r="22" spans="1:43" ht="30" customHeight="1" thickBot="1" x14ac:dyDescent="0.3">
      <c r="A22" s="265"/>
      <c r="B22" s="87" t="str">
        <f>B21</f>
        <v>Allemagne</v>
      </c>
      <c r="C22" s="199">
        <v>1</v>
      </c>
      <c r="D22" s="199">
        <v>0</v>
      </c>
      <c r="E22" s="88" t="str">
        <f>B26</f>
        <v>Pologne</v>
      </c>
      <c r="F22" s="89" t="str">
        <f t="shared" si="1"/>
        <v>Allemagne</v>
      </c>
      <c r="G22" s="27"/>
      <c r="H22" s="90">
        <v>1</v>
      </c>
      <c r="I22" s="91" t="str">
        <f>VLOOKUP(MAX(AP16:AP19),AP16:AQ19,2,FALSE)</f>
        <v>Allemagne</v>
      </c>
      <c r="J22" s="92">
        <f>VLOOKUP(I22,AK16:AO19,5,FALSE)</f>
        <v>9</v>
      </c>
      <c r="K22" s="92">
        <f>VLOOKUP(I22,AK16:AL19,2,FALSE)</f>
        <v>3</v>
      </c>
      <c r="L22" s="92">
        <f>VLOOKUP(I22,AK16:AM19,3,FALSE)</f>
        <v>0</v>
      </c>
      <c r="M22" s="93">
        <f>VLOOKUP(I22,AK16:AN19,4,FALSE)</f>
        <v>3</v>
      </c>
      <c r="N22" s="5"/>
      <c r="O22" s="230" t="str">
        <f>I40</f>
        <v>Portugal</v>
      </c>
      <c r="P22" s="232"/>
      <c r="Q22" s="5"/>
      <c r="R22" s="234"/>
      <c r="S22" s="235"/>
      <c r="T22" s="5"/>
      <c r="U22" s="5"/>
      <c r="V22" s="5"/>
      <c r="W22" s="5"/>
      <c r="X22" s="5"/>
      <c r="Y22" s="5"/>
      <c r="Z22" s="6"/>
      <c r="AB22" s="18">
        <v>5</v>
      </c>
      <c r="AC22" s="94" t="str">
        <f t="shared" si="8"/>
        <v>A</v>
      </c>
      <c r="AD22" s="95" t="str">
        <f>VLOOKUP(LARGE(AG5:AG10,5),AG5:AH10,2,FALSE)</f>
        <v>Albanie</v>
      </c>
      <c r="AE22" s="20">
        <f t="shared" si="9"/>
        <v>2</v>
      </c>
      <c r="AF22" s="20">
        <f t="shared" si="6"/>
        <v>-1</v>
      </c>
      <c r="AG22" s="22">
        <f t="shared" si="7"/>
        <v>1</v>
      </c>
      <c r="AH22" s="2"/>
      <c r="AK22" s="3" t="str">
        <f>B27</f>
        <v>Espagne</v>
      </c>
      <c r="AL22" s="7">
        <f>SUM(C27:C29)</f>
        <v>3</v>
      </c>
      <c r="AM22" s="7">
        <f>SUM(D27:D29)</f>
        <v>1</v>
      </c>
      <c r="AN22" s="7">
        <f>SUM(AL22,-AM22)</f>
        <v>2</v>
      </c>
      <c r="AO22" s="7">
        <f>COUNTIF(F27:F32,B27)*3+COUNTIF(F27:F29,"Égalité")</f>
        <v>7</v>
      </c>
      <c r="AP22" s="3">
        <f>SUM(AO22,AN22/100,AL22/10000)</f>
        <v>7.0202999999999998</v>
      </c>
      <c r="AQ22" s="7" t="str">
        <f>B27</f>
        <v>Espagne</v>
      </c>
    </row>
    <row r="23" spans="1:43" ht="30" customHeight="1" thickBot="1" x14ac:dyDescent="0.3">
      <c r="A23" s="265"/>
      <c r="B23" s="87" t="str">
        <f>B21</f>
        <v>Allemagne</v>
      </c>
      <c r="C23" s="199">
        <v>1</v>
      </c>
      <c r="D23" s="199">
        <v>0</v>
      </c>
      <c r="E23" s="88" t="s">
        <v>57</v>
      </c>
      <c r="F23" s="89" t="str">
        <f t="shared" si="1"/>
        <v>Allemagne</v>
      </c>
      <c r="G23" s="27"/>
      <c r="H23" s="96">
        <v>2</v>
      </c>
      <c r="I23" s="97" t="str">
        <f>VLOOKUP(LARGE(AP16:AP19,2),AP16:AQ19,2,FALSE)</f>
        <v>Irlande N.</v>
      </c>
      <c r="J23" s="98">
        <f>VLOOKUP(I23,AK16:AO19,5,FALSE)</f>
        <v>4</v>
      </c>
      <c r="K23" s="98">
        <f>VLOOKUP(I23,AK16:AL19,2,FALSE)</f>
        <v>2</v>
      </c>
      <c r="L23" s="98">
        <f>VLOOKUP(I23,AK16:AM19,3,FALSE)</f>
        <v>2</v>
      </c>
      <c r="M23" s="99">
        <f>VLOOKUP(I23,AK16:AN19,4,FALSE)</f>
        <v>0</v>
      </c>
      <c r="N23" s="5"/>
      <c r="O23" s="231"/>
      <c r="P23" s="233"/>
      <c r="Q23" s="5"/>
      <c r="R23" s="5"/>
      <c r="S23" s="5"/>
      <c r="T23" s="5"/>
      <c r="U23" s="5"/>
      <c r="V23" s="5"/>
      <c r="W23" s="5"/>
      <c r="X23" s="5"/>
      <c r="Y23" s="5"/>
      <c r="Z23" s="6"/>
      <c r="AB23" s="36">
        <v>6</v>
      </c>
      <c r="AC23" s="100" t="str">
        <f t="shared" si="8"/>
        <v>A</v>
      </c>
      <c r="AD23" s="101" t="str">
        <f>VLOOKUP(MIN(AG5:AG10),AG5:AH10,2,FALSE)</f>
        <v>Albanie</v>
      </c>
      <c r="AE23" s="38">
        <f t="shared" si="9"/>
        <v>2</v>
      </c>
      <c r="AF23" s="38">
        <f t="shared" si="6"/>
        <v>-1</v>
      </c>
      <c r="AG23" s="40">
        <f t="shared" si="7"/>
        <v>1</v>
      </c>
      <c r="AH23" s="2"/>
      <c r="AK23" s="7" t="str">
        <f>B30</f>
        <v>R. Tcheq.</v>
      </c>
      <c r="AL23" s="7">
        <f>SUM(C30,C31,D27)</f>
        <v>0</v>
      </c>
      <c r="AM23" s="7">
        <f>SUM(C27,D30,D31)</f>
        <v>3</v>
      </c>
      <c r="AN23" s="7">
        <f t="shared" ref="AN23:AN25" si="10">SUM(AL23,-AM23)</f>
        <v>-3</v>
      </c>
      <c r="AO23" s="7">
        <f>COUNTIF(F27:F32,B30)*3+COUNTIF(F27,"Égalité")+COUNTIF(F30:F31,"Égalité")</f>
        <v>0</v>
      </c>
      <c r="AP23" s="3">
        <f t="shared" ref="AP23:AP25" si="11">SUM(AO23,AN23/100,AL23/10000)</f>
        <v>-0.03</v>
      </c>
      <c r="AQ23" s="7" t="str">
        <f>B30</f>
        <v>R. Tcheq.</v>
      </c>
    </row>
    <row r="24" spans="1:43" ht="30" customHeight="1" thickBot="1" x14ac:dyDescent="0.3">
      <c r="A24" s="265"/>
      <c r="B24" s="87" t="s">
        <v>69</v>
      </c>
      <c r="C24" s="199">
        <v>0</v>
      </c>
      <c r="D24" s="199">
        <v>0</v>
      </c>
      <c r="E24" s="88" t="str">
        <f>B26</f>
        <v>Pologne</v>
      </c>
      <c r="F24" s="89" t="str">
        <f t="shared" si="1"/>
        <v>Égalité</v>
      </c>
      <c r="G24" s="27"/>
      <c r="H24" s="89">
        <v>3</v>
      </c>
      <c r="I24" s="102" t="str">
        <f>VLOOKUP(LARGE(AP16:AP19,3),AP16:AQ19,2,FALSE)</f>
        <v>Ukraine</v>
      </c>
      <c r="J24" s="88">
        <f>VLOOKUP(I24,AK16:AO19,5,FALSE)</f>
        <v>2</v>
      </c>
      <c r="K24" s="88">
        <f>VLOOKUP(I24,AK16:AL19,2,FALSE)</f>
        <v>1</v>
      </c>
      <c r="L24" s="88">
        <f>VLOOKUP(I24,AK16:AM19,3,FALSE)</f>
        <v>2</v>
      </c>
      <c r="M24" s="103">
        <f>VLOOKUP(I24,AK16:AN19,4,FALSE)</f>
        <v>-1</v>
      </c>
      <c r="N24" s="5"/>
      <c r="O24" s="231" t="str">
        <f>I35</f>
        <v>Italie</v>
      </c>
      <c r="P24" s="233"/>
      <c r="Q24" s="5"/>
      <c r="R24" s="5"/>
      <c r="S24" s="5"/>
      <c r="T24" s="5"/>
      <c r="U24" s="5"/>
      <c r="V24" s="5"/>
      <c r="W24" s="5"/>
      <c r="X24" s="5"/>
      <c r="Y24" s="5"/>
      <c r="Z24" s="6"/>
      <c r="AK24" s="7" t="str">
        <f>B32</f>
        <v>Turquie</v>
      </c>
      <c r="AL24" s="7">
        <f>SUM(C32,D28,D30)</f>
        <v>2</v>
      </c>
      <c r="AM24" s="7">
        <f>SUM(C28,C30,D32)</f>
        <v>2</v>
      </c>
      <c r="AN24" s="7">
        <f t="shared" si="10"/>
        <v>0</v>
      </c>
      <c r="AO24" s="7">
        <f>COUNTIF(F27:F32,B32)*3+COUNTIF(F28,"Égalité")+COUNTIF(F30,"Égalité")+COUNTIF(F32,"Égalité")</f>
        <v>4</v>
      </c>
      <c r="AP24" s="3">
        <f t="shared" si="11"/>
        <v>4.0002000000000004</v>
      </c>
      <c r="AQ24" s="7" t="str">
        <f>B32</f>
        <v>Turquie</v>
      </c>
    </row>
    <row r="25" spans="1:43" ht="30" customHeight="1" thickBot="1" x14ac:dyDescent="0.3">
      <c r="A25" s="265"/>
      <c r="B25" s="87" t="str">
        <f>B24</f>
        <v>Ukraine</v>
      </c>
      <c r="C25" s="199">
        <v>1</v>
      </c>
      <c r="D25" s="199">
        <v>1</v>
      </c>
      <c r="E25" s="88" t="str">
        <f>E23</f>
        <v>Irlande N.</v>
      </c>
      <c r="F25" s="89" t="str">
        <f t="shared" si="1"/>
        <v>Égalité</v>
      </c>
      <c r="G25" s="27"/>
      <c r="H25" s="104">
        <v>4</v>
      </c>
      <c r="I25" s="105" t="str">
        <f>VLOOKUP(LARGE(AP16:AP19,4),AP16:AQ19,2,FALSE)</f>
        <v>Pologne</v>
      </c>
      <c r="J25" s="106">
        <f>VLOOKUP(I25,AK16:AO19,5,FALSE)</f>
        <v>1</v>
      </c>
      <c r="K25" s="107">
        <f>VLOOKUP(I25,AK16:AL19,2,FALSE)</f>
        <v>0</v>
      </c>
      <c r="L25" s="107">
        <f>VLOOKUP(I25,AK16:AM19,3,FALSE)</f>
        <v>2</v>
      </c>
      <c r="M25" s="108">
        <f>VLOOKUP(I25,AK16:AN19,4,FALSE)</f>
        <v>-2</v>
      </c>
      <c r="N25" s="5"/>
      <c r="O25" s="234"/>
      <c r="P25" s="235"/>
      <c r="Q25" s="5"/>
      <c r="R25" s="5"/>
      <c r="S25" s="5"/>
      <c r="T25" s="5"/>
      <c r="U25" s="5"/>
      <c r="V25" s="5"/>
      <c r="W25" s="5"/>
      <c r="X25" s="230" t="str">
        <f>IF(V13&lt;&gt;V15,IF(V13&gt;V15,U13,U15),"")</f>
        <v/>
      </c>
      <c r="Y25" s="232"/>
      <c r="Z25" s="6"/>
      <c r="AA25" s="2"/>
      <c r="AK25" s="7" t="str">
        <f>E29</f>
        <v>Croatie</v>
      </c>
      <c r="AL25" s="7">
        <f>SUM(D29,D31,D32)</f>
        <v>2</v>
      </c>
      <c r="AM25" s="7">
        <f>SUM(C29,C31,C32)</f>
        <v>1</v>
      </c>
      <c r="AN25" s="7">
        <f t="shared" si="10"/>
        <v>1</v>
      </c>
      <c r="AO25" s="8">
        <f>COUNTIF(F27:F32,E29)*3+COUNTIF(F29,"Égalité")+COUNTIF(F31:F32,"Égalité")</f>
        <v>6</v>
      </c>
      <c r="AP25" s="3">
        <f t="shared" si="11"/>
        <v>6.0102000000000002</v>
      </c>
      <c r="AQ25" s="7" t="str">
        <f>E29</f>
        <v>Croatie</v>
      </c>
    </row>
    <row r="26" spans="1:43" ht="30" customHeight="1" thickBot="1" x14ac:dyDescent="0.3">
      <c r="A26" s="266"/>
      <c r="B26" s="109" t="s">
        <v>68</v>
      </c>
      <c r="C26" s="200">
        <v>0</v>
      </c>
      <c r="D26" s="200">
        <v>1</v>
      </c>
      <c r="E26" s="107" t="str">
        <f>E23</f>
        <v>Irlande N.</v>
      </c>
      <c r="F26" s="104" t="str">
        <f t="shared" si="1"/>
        <v>Irlande N.</v>
      </c>
      <c r="G26" s="27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231"/>
      <c r="Y26" s="233"/>
      <c r="Z26" s="6"/>
      <c r="AA26" s="2"/>
      <c r="AK26" s="3"/>
      <c r="AL26" s="3"/>
      <c r="AM26" s="3"/>
      <c r="AN26" s="3"/>
      <c r="AO26" s="3"/>
      <c r="AP26" s="3"/>
      <c r="AQ26" s="3"/>
    </row>
    <row r="27" spans="1:43" ht="30" customHeight="1" thickBot="1" x14ac:dyDescent="0.3">
      <c r="A27" s="253" t="s">
        <v>17</v>
      </c>
      <c r="B27" s="110" t="s">
        <v>58</v>
      </c>
      <c r="C27" s="198">
        <v>1</v>
      </c>
      <c r="D27" s="198">
        <v>0</v>
      </c>
      <c r="E27" s="111" t="str">
        <f>B30</f>
        <v>R. Tcheq.</v>
      </c>
      <c r="F27" s="112" t="str">
        <f t="shared" si="1"/>
        <v>Espagne</v>
      </c>
      <c r="G27" s="27"/>
      <c r="H27" s="23" t="s">
        <v>48</v>
      </c>
      <c r="I27" s="28" t="s">
        <v>1</v>
      </c>
      <c r="J27" s="28" t="s">
        <v>3</v>
      </c>
      <c r="K27" s="11" t="s">
        <v>4</v>
      </c>
      <c r="L27" s="11" t="s">
        <v>5</v>
      </c>
      <c r="M27" s="29" t="s">
        <v>13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231" t="str">
        <f>IF(V37&lt;&gt;V39,IF(V37&gt;V39,U37,U39),"")</f>
        <v/>
      </c>
      <c r="Y27" s="233"/>
      <c r="Z27" s="6"/>
      <c r="AA27" s="2"/>
      <c r="AK27" s="3" t="s">
        <v>1</v>
      </c>
      <c r="AL27" s="7" t="s">
        <v>4</v>
      </c>
      <c r="AM27" s="7" t="s">
        <v>5</v>
      </c>
      <c r="AN27" s="8" t="s">
        <v>13</v>
      </c>
      <c r="AO27" s="7" t="s">
        <v>3</v>
      </c>
      <c r="AP27" s="3" t="s">
        <v>14</v>
      </c>
      <c r="AQ27" s="7" t="s">
        <v>1</v>
      </c>
    </row>
    <row r="28" spans="1:43" ht="30" customHeight="1" thickBot="1" x14ac:dyDescent="0.3">
      <c r="A28" s="254"/>
      <c r="B28" s="113" t="str">
        <f>B27</f>
        <v>Espagne</v>
      </c>
      <c r="C28" s="199">
        <v>1</v>
      </c>
      <c r="D28" s="199">
        <v>1</v>
      </c>
      <c r="E28" s="114" t="str">
        <f>B32</f>
        <v>Turquie</v>
      </c>
      <c r="F28" s="115" t="str">
        <f t="shared" si="1"/>
        <v>Égalité</v>
      </c>
      <c r="G28" s="27"/>
      <c r="H28" s="116">
        <v>1</v>
      </c>
      <c r="I28" s="117" t="str">
        <f>VLOOKUP(MAX(AP22:AP25),AP22:AQ25,2,FALSE)</f>
        <v>Espagne</v>
      </c>
      <c r="J28" s="118">
        <f>VLOOKUP(I28,AK22:AO25,5,FALSE)</f>
        <v>7</v>
      </c>
      <c r="K28" s="118">
        <f>VLOOKUP(I28,AK22:AL25,2,FALSE)</f>
        <v>3</v>
      </c>
      <c r="L28" s="118">
        <f>VLOOKUP(I28,AK22:AM25,3,FALSE)</f>
        <v>1</v>
      </c>
      <c r="M28" s="119">
        <f>VLOOKUP(I28,AK22:AN25,4,FALSE)</f>
        <v>2</v>
      </c>
      <c r="N28" s="5"/>
      <c r="O28" s="230" t="str">
        <f>I22</f>
        <v>Allemagne</v>
      </c>
      <c r="P28" s="232"/>
      <c r="Q28" s="5"/>
      <c r="R28" s="5"/>
      <c r="S28" s="5"/>
      <c r="T28" s="5"/>
      <c r="U28" s="5"/>
      <c r="V28" s="5"/>
      <c r="W28" s="5"/>
      <c r="X28" s="234"/>
      <c r="Y28" s="235"/>
      <c r="Z28" s="6"/>
      <c r="AA28" s="2"/>
      <c r="AK28" s="3" t="str">
        <f>B33</f>
        <v>Belgique</v>
      </c>
      <c r="AL28" s="7">
        <f>SUM(C33:C35)</f>
        <v>6</v>
      </c>
      <c r="AM28" s="7">
        <f>SUM(D33:D35)</f>
        <v>0</v>
      </c>
      <c r="AN28" s="7">
        <f>SUM(AL28,-AM28)</f>
        <v>6</v>
      </c>
      <c r="AO28" s="7">
        <f>COUNTIF(F33:F38,B33)*3+COUNTIF(F33:F35,"Égalité")</f>
        <v>9</v>
      </c>
      <c r="AP28" s="3">
        <f>SUM(AO28,AN28/100,AL28/10000)</f>
        <v>9.0606000000000009</v>
      </c>
      <c r="AQ28" s="7" t="str">
        <f>B33</f>
        <v>Belgique</v>
      </c>
    </row>
    <row r="29" spans="1:43" ht="30" customHeight="1" x14ac:dyDescent="0.25">
      <c r="A29" s="254"/>
      <c r="B29" s="113" t="str">
        <f>B27</f>
        <v>Espagne</v>
      </c>
      <c r="C29" s="199">
        <v>1</v>
      </c>
      <c r="D29" s="199">
        <v>0</v>
      </c>
      <c r="E29" s="114" t="s">
        <v>71</v>
      </c>
      <c r="F29" s="115" t="str">
        <f t="shared" si="1"/>
        <v>Espagne</v>
      </c>
      <c r="G29" s="27"/>
      <c r="H29" s="120">
        <v>2</v>
      </c>
      <c r="I29" s="121" t="str">
        <f>VLOOKUP(LARGE(AP22:AP25,2),AP22:AQ25,2,FALSE)</f>
        <v>Croatie</v>
      </c>
      <c r="J29" s="122">
        <f>VLOOKUP(I29,AK22:AO25,5,FALSE)</f>
        <v>6</v>
      </c>
      <c r="K29" s="122">
        <f>VLOOKUP(I29,AK22:AL25,2,FALSE)</f>
        <v>2</v>
      </c>
      <c r="L29" s="122">
        <f>VLOOKUP(I29,AK22:AM25,3,FALSE)</f>
        <v>1</v>
      </c>
      <c r="M29" s="123">
        <f>VLOOKUP(I29,AK22:AN25,4,FALSE)</f>
        <v>1</v>
      </c>
      <c r="N29" s="5"/>
      <c r="O29" s="231"/>
      <c r="P29" s="233"/>
      <c r="Q29" s="5"/>
      <c r="R29" s="5"/>
      <c r="S29" s="5"/>
      <c r="T29" s="5"/>
      <c r="U29" s="5"/>
      <c r="V29" s="5"/>
      <c r="W29" s="5"/>
      <c r="X29" s="5"/>
      <c r="Y29" s="5"/>
      <c r="Z29" s="6"/>
      <c r="AK29" s="7" t="str">
        <f>B36</f>
        <v>Italie</v>
      </c>
      <c r="AL29" s="7">
        <f>SUM(C36,C37,D33)</f>
        <v>3</v>
      </c>
      <c r="AM29" s="7">
        <f>SUM(C33,D36,D37)</f>
        <v>3</v>
      </c>
      <c r="AN29" s="7">
        <f t="shared" ref="AN29:AN31" si="12">SUM(AL29,-AM29)</f>
        <v>0</v>
      </c>
      <c r="AO29" s="7">
        <f>COUNTIF(F33:F38,B36)*3+COUNTIF(F33,"Égalité")+COUNTIF(F36:F37,"Égalité")</f>
        <v>3</v>
      </c>
      <c r="AP29" s="3">
        <f t="shared" ref="AP29:AP31" si="13">SUM(AO29,AN29/100,AL29/10000)</f>
        <v>3.0003000000000002</v>
      </c>
      <c r="AQ29" s="7" t="str">
        <f>B36</f>
        <v>Italie</v>
      </c>
    </row>
    <row r="30" spans="1:43" ht="30" customHeight="1" thickBot="1" x14ac:dyDescent="0.3">
      <c r="A30" s="254"/>
      <c r="B30" s="113" t="s">
        <v>70</v>
      </c>
      <c r="C30" s="199">
        <v>0</v>
      </c>
      <c r="D30" s="199">
        <v>1</v>
      </c>
      <c r="E30" s="114" t="str">
        <f>B32</f>
        <v>Turquie</v>
      </c>
      <c r="F30" s="115" t="str">
        <f t="shared" si="1"/>
        <v>Turquie</v>
      </c>
      <c r="G30" s="27"/>
      <c r="H30" s="115">
        <v>3</v>
      </c>
      <c r="I30" s="124" t="str">
        <f>VLOOKUP(LARGE(AP22:AP25,3),AP22:AQ25,2,FALSE)</f>
        <v>Turquie</v>
      </c>
      <c r="J30" s="114">
        <f>VLOOKUP(I30,AK22:AO25,5,FALSE)</f>
        <v>4</v>
      </c>
      <c r="K30" s="114">
        <f>VLOOKUP(I30,AK22:AL25,2,FALSE)</f>
        <v>2</v>
      </c>
      <c r="L30" s="114">
        <f>VLOOKUP(I30,AK22:AM25,3,FALSE)</f>
        <v>2</v>
      </c>
      <c r="M30" s="125">
        <f>VLOOKUP(I30,AK22:AN25,4,FALSE)</f>
        <v>0</v>
      </c>
      <c r="N30" s="5"/>
      <c r="O30" s="231" t="str">
        <f>AO62</f>
        <v>P. Galles</v>
      </c>
      <c r="P30" s="233"/>
      <c r="Q30" s="5"/>
      <c r="R30" s="5"/>
      <c r="S30" s="5"/>
      <c r="T30" s="5"/>
      <c r="U30" s="5"/>
      <c r="V30" s="5"/>
      <c r="W30" s="5"/>
      <c r="X30" s="5"/>
      <c r="Y30" s="5"/>
      <c r="Z30" s="6"/>
      <c r="AK30" s="7" t="str">
        <f>B38</f>
        <v>Irlande</v>
      </c>
      <c r="AL30" s="7">
        <f>SUM(C38,D34,D36)</f>
        <v>1</v>
      </c>
      <c r="AM30" s="7">
        <f>SUM(C34,C36,D38)</f>
        <v>2</v>
      </c>
      <c r="AN30" s="7">
        <f t="shared" si="12"/>
        <v>-1</v>
      </c>
      <c r="AO30" s="7">
        <f>COUNTIF(F33:F38,B38)*3+COUNTIF(F34,"Égalité")+COUNTIF(F36,"Égalité")+COUNTIF(F38,"Égalité")</f>
        <v>3</v>
      </c>
      <c r="AP30" s="3">
        <f t="shared" si="13"/>
        <v>2.9901000000000004</v>
      </c>
      <c r="AQ30" s="7" t="str">
        <f>B38</f>
        <v>Irlande</v>
      </c>
    </row>
    <row r="31" spans="1:43" ht="30" customHeight="1" thickBot="1" x14ac:dyDescent="0.3">
      <c r="A31" s="254"/>
      <c r="B31" s="113" t="str">
        <f>B30</f>
        <v>R. Tcheq.</v>
      </c>
      <c r="C31" s="199">
        <v>0</v>
      </c>
      <c r="D31" s="199">
        <v>1</v>
      </c>
      <c r="E31" s="114" t="str">
        <f>E29</f>
        <v>Croatie</v>
      </c>
      <c r="F31" s="115" t="str">
        <f t="shared" si="1"/>
        <v>Croatie</v>
      </c>
      <c r="G31" s="27"/>
      <c r="H31" s="126">
        <v>4</v>
      </c>
      <c r="I31" s="127" t="str">
        <f>VLOOKUP(LARGE(AP22:AP25,4),AP22:AQ25,2,FALSE)</f>
        <v>R. Tcheq.</v>
      </c>
      <c r="J31" s="128">
        <f>VLOOKUP(I31,AK22:AO25,5,FALSE)</f>
        <v>0</v>
      </c>
      <c r="K31" s="129">
        <f>VLOOKUP(I31,AK22:AL25,2,FALSE)</f>
        <v>0</v>
      </c>
      <c r="L31" s="129">
        <f>VLOOKUP(I31,AK22:AM25,3,FALSE)</f>
        <v>3</v>
      </c>
      <c r="M31" s="130">
        <f>VLOOKUP(I31,AK22:AN25,4,FALSE)</f>
        <v>-3</v>
      </c>
      <c r="N31" s="5"/>
      <c r="O31" s="234"/>
      <c r="P31" s="235"/>
      <c r="Q31" s="5"/>
      <c r="R31" s="230" t="str">
        <f>IF(P28&lt;&gt;P30,IF(P28&gt;P30,O28,O30),"")</f>
        <v/>
      </c>
      <c r="S31" s="232"/>
      <c r="T31" s="5"/>
      <c r="U31" s="5"/>
      <c r="V31" s="5"/>
      <c r="W31" s="5"/>
      <c r="X31" s="5"/>
      <c r="Y31" s="5"/>
      <c r="Z31" s="6"/>
      <c r="AK31" s="7" t="str">
        <f>E35</f>
        <v>Suède</v>
      </c>
      <c r="AL31" s="7">
        <f>SUM(D35,D37,D38)</f>
        <v>2</v>
      </c>
      <c r="AM31" s="7">
        <f>SUM(C35,C37,C38)</f>
        <v>7</v>
      </c>
      <c r="AN31" s="7">
        <f t="shared" si="12"/>
        <v>-5</v>
      </c>
      <c r="AO31" s="8">
        <f>COUNTIF(F33:F38,E35)*3+COUNTIF(F35,"Égalité")+COUNTIF(F37:F38,"Égalité")</f>
        <v>3</v>
      </c>
      <c r="AP31" s="3">
        <f t="shared" si="13"/>
        <v>2.9502000000000002</v>
      </c>
      <c r="AQ31" s="7" t="str">
        <f>E35</f>
        <v>Suède</v>
      </c>
    </row>
    <row r="32" spans="1:43" ht="30" customHeight="1" thickBot="1" x14ac:dyDescent="0.3">
      <c r="A32" s="255"/>
      <c r="B32" s="131" t="s">
        <v>59</v>
      </c>
      <c r="C32" s="200">
        <v>0</v>
      </c>
      <c r="D32" s="200">
        <v>1</v>
      </c>
      <c r="E32" s="132" t="str">
        <f>E29</f>
        <v>Croatie</v>
      </c>
      <c r="F32" s="133" t="str">
        <f t="shared" si="1"/>
        <v>Croatie</v>
      </c>
      <c r="G32" s="27"/>
      <c r="H32" s="5"/>
      <c r="I32" s="5"/>
      <c r="J32" s="5"/>
      <c r="K32" s="5"/>
      <c r="L32" s="5"/>
      <c r="M32" s="5"/>
      <c r="N32" s="5"/>
      <c r="O32" s="5"/>
      <c r="P32" s="5"/>
      <c r="Q32" s="5"/>
      <c r="R32" s="231"/>
      <c r="S32" s="233"/>
      <c r="T32" s="5"/>
      <c r="U32" s="5"/>
      <c r="V32" s="5"/>
      <c r="W32" s="5"/>
      <c r="X32" s="5"/>
      <c r="Y32" s="5"/>
      <c r="Z32" s="6"/>
      <c r="AK32" s="3"/>
      <c r="AL32" s="3"/>
      <c r="AM32" s="3"/>
      <c r="AN32" s="3"/>
      <c r="AO32" s="3"/>
      <c r="AP32" s="3"/>
      <c r="AQ32" s="3"/>
    </row>
    <row r="33" spans="1:44" ht="30" customHeight="1" thickBot="1" x14ac:dyDescent="0.3">
      <c r="A33" s="261" t="s">
        <v>18</v>
      </c>
      <c r="B33" s="134" t="s">
        <v>60</v>
      </c>
      <c r="C33" s="198">
        <v>1</v>
      </c>
      <c r="D33" s="198">
        <v>0</v>
      </c>
      <c r="E33" s="135" t="str">
        <f>B36</f>
        <v>Italie</v>
      </c>
      <c r="F33" s="136" t="str">
        <f t="shared" si="1"/>
        <v>Belgique</v>
      </c>
      <c r="G33" s="27"/>
      <c r="H33" s="23" t="s">
        <v>48</v>
      </c>
      <c r="I33" s="28" t="s">
        <v>1</v>
      </c>
      <c r="J33" s="28" t="s">
        <v>3</v>
      </c>
      <c r="K33" s="11" t="s">
        <v>4</v>
      </c>
      <c r="L33" s="11" t="s">
        <v>5</v>
      </c>
      <c r="M33" s="29" t="s">
        <v>13</v>
      </c>
      <c r="N33" s="5"/>
      <c r="O33" s="5"/>
      <c r="P33" s="5"/>
      <c r="Q33" s="5"/>
      <c r="R33" s="231" t="str">
        <f>IF(P34&lt;&gt;P36,IF(P34&gt;P36,O34,O36),"")</f>
        <v/>
      </c>
      <c r="S33" s="233"/>
      <c r="T33" s="5"/>
      <c r="U33" s="5"/>
      <c r="V33" s="5"/>
      <c r="W33" s="5"/>
      <c r="X33" s="5"/>
      <c r="Y33" s="5"/>
      <c r="Z33" s="6"/>
      <c r="AK33" s="3" t="s">
        <v>1</v>
      </c>
      <c r="AL33" s="7" t="s">
        <v>4</v>
      </c>
      <c r="AM33" s="7" t="s">
        <v>5</v>
      </c>
      <c r="AN33" s="8" t="s">
        <v>13</v>
      </c>
      <c r="AO33" s="7" t="s">
        <v>3</v>
      </c>
      <c r="AP33" s="3" t="s">
        <v>14</v>
      </c>
      <c r="AQ33" s="7" t="s">
        <v>1</v>
      </c>
    </row>
    <row r="34" spans="1:44" ht="30" customHeight="1" thickBot="1" x14ac:dyDescent="0.3">
      <c r="A34" s="262"/>
      <c r="B34" s="137" t="str">
        <f>B33</f>
        <v>Belgique</v>
      </c>
      <c r="C34" s="199">
        <v>1</v>
      </c>
      <c r="D34" s="199">
        <v>0</v>
      </c>
      <c r="E34" s="138" t="str">
        <f>B38</f>
        <v>Irlande</v>
      </c>
      <c r="F34" s="139" t="str">
        <f t="shared" si="1"/>
        <v>Belgique</v>
      </c>
      <c r="G34" s="27"/>
      <c r="H34" s="140">
        <v>1</v>
      </c>
      <c r="I34" s="141" t="str">
        <f>VLOOKUP(MAX(AP28:AP31),AP28:AQ31,2,FALSE)</f>
        <v>Belgique</v>
      </c>
      <c r="J34" s="142">
        <f>VLOOKUP(I34,AK28:AO31,5,FALSE)</f>
        <v>9</v>
      </c>
      <c r="K34" s="142">
        <f>VLOOKUP(I34,AK28:AL31,2,FALSE)</f>
        <v>6</v>
      </c>
      <c r="L34" s="142">
        <f>VLOOKUP(I34,AK28:AM31,3,FALSE)</f>
        <v>0</v>
      </c>
      <c r="M34" s="143">
        <f>VLOOKUP(I34,AK28:AN31,4,FALSE)</f>
        <v>6</v>
      </c>
      <c r="N34" s="5"/>
      <c r="O34" s="230" t="str">
        <f>I34</f>
        <v>Belgique</v>
      </c>
      <c r="P34" s="232"/>
      <c r="Q34" s="5"/>
      <c r="R34" s="234"/>
      <c r="S34" s="235"/>
      <c r="T34" s="5"/>
      <c r="U34" s="5"/>
      <c r="V34" s="5"/>
      <c r="W34" s="5"/>
      <c r="X34" s="5"/>
      <c r="Y34" s="5"/>
      <c r="Z34" s="6"/>
      <c r="AK34" s="3" t="str">
        <f>B39</f>
        <v>Portugal</v>
      </c>
      <c r="AL34" s="7">
        <f>SUM(C39:C41)</f>
        <v>2</v>
      </c>
      <c r="AM34" s="7">
        <f>SUM(D39:D41)</f>
        <v>0</v>
      </c>
      <c r="AN34" s="7">
        <f>SUM(AL34,-AM34)</f>
        <v>2</v>
      </c>
      <c r="AO34" s="7">
        <f>COUNTIF(F39:F44,B39)*3+COUNTIF(F39:F41,"Égalité")</f>
        <v>7</v>
      </c>
      <c r="AP34" s="3">
        <f>SUM(AO34,AN34/100,AL34/10000)</f>
        <v>7.0202</v>
      </c>
      <c r="AQ34" s="7" t="str">
        <f>B39</f>
        <v>Portugal</v>
      </c>
    </row>
    <row r="35" spans="1:44" ht="30" customHeight="1" x14ac:dyDescent="0.25">
      <c r="A35" s="262"/>
      <c r="B35" s="137" t="str">
        <f>B33</f>
        <v>Belgique</v>
      </c>
      <c r="C35" s="199">
        <v>4</v>
      </c>
      <c r="D35" s="199">
        <v>0</v>
      </c>
      <c r="E35" s="138" t="s">
        <v>72</v>
      </c>
      <c r="F35" s="139" t="str">
        <f t="shared" si="1"/>
        <v>Belgique</v>
      </c>
      <c r="G35" s="27"/>
      <c r="H35" s="144">
        <v>2</v>
      </c>
      <c r="I35" s="145" t="str">
        <f>VLOOKUP(LARGE(AP28:AP31,2),AP28:AQ31,2,FALSE)</f>
        <v>Italie</v>
      </c>
      <c r="J35" s="146">
        <f>VLOOKUP(I35,AK28:AO31,5,FALSE)</f>
        <v>3</v>
      </c>
      <c r="K35" s="146">
        <f>VLOOKUP(I35,AK28:AL31,2,FALSE)</f>
        <v>3</v>
      </c>
      <c r="L35" s="146">
        <f>VLOOKUP(I35,AK28:AM31,3,FALSE)</f>
        <v>3</v>
      </c>
      <c r="M35" s="147">
        <f>VLOOKUP(I35,AK28:AN31,4,FALSE)</f>
        <v>0</v>
      </c>
      <c r="N35" s="5"/>
      <c r="O35" s="231"/>
      <c r="P35" s="233"/>
      <c r="Q35" s="5"/>
      <c r="R35" s="5"/>
      <c r="S35" s="5"/>
      <c r="T35" s="5"/>
      <c r="U35" s="5"/>
      <c r="V35" s="5"/>
      <c r="W35" s="5"/>
      <c r="X35" s="5"/>
      <c r="Y35" s="5"/>
      <c r="Z35" s="6"/>
      <c r="AK35" s="7" t="str">
        <f>B42</f>
        <v>Islande</v>
      </c>
      <c r="AL35" s="7">
        <f>SUM(C42,C43,D39)</f>
        <v>4</v>
      </c>
      <c r="AM35" s="7">
        <f>SUM(C39,D42,D43)</f>
        <v>3</v>
      </c>
      <c r="AN35" s="7">
        <f t="shared" ref="AN35:AN37" si="14">SUM(AL35,-AM35)</f>
        <v>1</v>
      </c>
      <c r="AO35" s="7">
        <f>COUNTIF(F39:F44,B42)*3+COUNTIF(F39,"Égalité")+COUNTIF(F42:F43,"Égalité")</f>
        <v>3</v>
      </c>
      <c r="AP35" s="3">
        <f t="shared" ref="AP35:AP37" si="15">SUM(AO35,AN35/100,AL35/10000)</f>
        <v>3.0103999999999997</v>
      </c>
      <c r="AQ35" s="7" t="str">
        <f>B42</f>
        <v>Islande</v>
      </c>
    </row>
    <row r="36" spans="1:44" ht="30" customHeight="1" thickBot="1" x14ac:dyDescent="0.3">
      <c r="A36" s="262"/>
      <c r="B36" s="137" t="s">
        <v>73</v>
      </c>
      <c r="C36" s="199">
        <v>0</v>
      </c>
      <c r="D36" s="199">
        <v>1</v>
      </c>
      <c r="E36" s="138" t="str">
        <f>B38</f>
        <v>Irlande</v>
      </c>
      <c r="F36" s="139" t="str">
        <f t="shared" si="1"/>
        <v>Irlande</v>
      </c>
      <c r="G36" s="27"/>
      <c r="H36" s="148">
        <v>3</v>
      </c>
      <c r="I36" s="149" t="str">
        <f>VLOOKUP(LARGE(AP28:AP31,3),AP28:AQ31,2,FALSE)</f>
        <v>Irlande</v>
      </c>
      <c r="J36" s="138">
        <f>VLOOKUP(I36,AK28:AO31,5,FALSE)</f>
        <v>3</v>
      </c>
      <c r="K36" s="138">
        <f>VLOOKUP(I36,AK28:AL31,2,FALSE)</f>
        <v>1</v>
      </c>
      <c r="L36" s="138">
        <f>VLOOKUP(I36,AK28:AM31,3,FALSE)</f>
        <v>2</v>
      </c>
      <c r="M36" s="150">
        <f>VLOOKUP(I36,AK28:AN31,4,FALSE)</f>
        <v>-1</v>
      </c>
      <c r="N36" s="5"/>
      <c r="O36" s="231" t="str">
        <f>I29</f>
        <v>Croatie</v>
      </c>
      <c r="P36" s="233"/>
      <c r="Q36" s="5"/>
      <c r="R36" s="5"/>
      <c r="S36" s="5"/>
      <c r="T36" s="5"/>
      <c r="U36" s="5"/>
      <c r="V36" s="5"/>
      <c r="W36" s="5"/>
      <c r="X36" s="5"/>
      <c r="Y36" s="5"/>
      <c r="Z36" s="6"/>
      <c r="AK36" s="7" t="str">
        <f>B44</f>
        <v>Autriche</v>
      </c>
      <c r="AL36" s="7">
        <f>SUM(C44,D40,D42)</f>
        <v>1</v>
      </c>
      <c r="AM36" s="7">
        <f>SUM(C40,C42,D44)</f>
        <v>5</v>
      </c>
      <c r="AN36" s="7">
        <f t="shared" si="14"/>
        <v>-4</v>
      </c>
      <c r="AO36" s="7">
        <f>COUNTIF(F39:F44,B44)*3+COUNTIF(F40,"Égalité")+COUNTIF(F42,"Égalité")+COUNTIF(F44,"Égalité")</f>
        <v>1</v>
      </c>
      <c r="AP36" s="3">
        <f t="shared" si="15"/>
        <v>0.96009999999999995</v>
      </c>
      <c r="AQ36" s="7" t="str">
        <f>B44</f>
        <v>Autriche</v>
      </c>
    </row>
    <row r="37" spans="1:44" ht="30" customHeight="1" thickBot="1" x14ac:dyDescent="0.3">
      <c r="A37" s="262"/>
      <c r="B37" s="137" t="str">
        <f>B36</f>
        <v>Italie</v>
      </c>
      <c r="C37" s="199">
        <v>3</v>
      </c>
      <c r="D37" s="199">
        <v>1</v>
      </c>
      <c r="E37" s="138" t="str">
        <f>E35</f>
        <v>Suède</v>
      </c>
      <c r="F37" s="139" t="str">
        <f t="shared" si="1"/>
        <v>Italie</v>
      </c>
      <c r="G37" s="27"/>
      <c r="H37" s="151">
        <v>4</v>
      </c>
      <c r="I37" s="152" t="str">
        <f>VLOOKUP(LARGE(AP28:AP31,4),AP28:AQ31,2,FALSE)</f>
        <v>Suède</v>
      </c>
      <c r="J37" s="153">
        <f>VLOOKUP(I37,AK28:AO31,5,FALSE)</f>
        <v>3</v>
      </c>
      <c r="K37" s="154">
        <f>VLOOKUP(I37,AK28:AL31,2,FALSE)</f>
        <v>2</v>
      </c>
      <c r="L37" s="154">
        <f>VLOOKUP(I37,AK28:AM31,3,FALSE)</f>
        <v>7</v>
      </c>
      <c r="M37" s="155">
        <f>VLOOKUP(I37,AK28:AN31,4,FALSE)</f>
        <v>-5</v>
      </c>
      <c r="N37" s="5"/>
      <c r="O37" s="234"/>
      <c r="P37" s="235"/>
      <c r="Q37" s="5"/>
      <c r="R37" s="5"/>
      <c r="S37" s="5"/>
      <c r="T37" s="5"/>
      <c r="U37" s="230" t="str">
        <f>IF(S31&lt;&gt;S33,IF(S31&gt;S33,R31,R33),"")</f>
        <v/>
      </c>
      <c r="V37" s="232"/>
      <c r="W37" s="5"/>
      <c r="X37" s="5"/>
      <c r="Y37" s="5"/>
      <c r="Z37" s="6"/>
      <c r="AK37" s="7" t="str">
        <f>E41</f>
        <v>Hongrie</v>
      </c>
      <c r="AL37" s="7">
        <f>SUM(D41,D43,D44)</f>
        <v>2</v>
      </c>
      <c r="AM37" s="7">
        <f>SUM(C41,C43,C44)</f>
        <v>1</v>
      </c>
      <c r="AN37" s="7">
        <f t="shared" si="14"/>
        <v>1</v>
      </c>
      <c r="AO37" s="8">
        <f>COUNTIF(F39:F44,E41)*3+COUNTIF(F41,"Égalité")+COUNTIF(F43:F44,"Égalité")</f>
        <v>6</v>
      </c>
      <c r="AP37" s="3">
        <f t="shared" si="15"/>
        <v>6.0102000000000002</v>
      </c>
      <c r="AQ37" s="7" t="str">
        <f>E41</f>
        <v>Hongrie</v>
      </c>
    </row>
    <row r="38" spans="1:44" ht="30" customHeight="1" thickBot="1" x14ac:dyDescent="0.3">
      <c r="A38" s="263"/>
      <c r="B38" s="156" t="s">
        <v>61</v>
      </c>
      <c r="C38" s="200">
        <v>0</v>
      </c>
      <c r="D38" s="200">
        <v>1</v>
      </c>
      <c r="E38" s="154" t="str">
        <f>E35</f>
        <v>Suède</v>
      </c>
      <c r="F38" s="157" t="str">
        <f t="shared" si="1"/>
        <v>Suède</v>
      </c>
      <c r="G38" s="27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231"/>
      <c r="V38" s="233"/>
      <c r="W38" s="5"/>
      <c r="X38" s="5"/>
      <c r="Y38" s="5"/>
      <c r="Z38" s="6"/>
      <c r="AK38" s="3"/>
      <c r="AL38" s="3"/>
      <c r="AM38" s="3"/>
      <c r="AN38" s="3"/>
      <c r="AO38" s="3"/>
      <c r="AP38" s="3"/>
      <c r="AQ38" s="3"/>
    </row>
    <row r="39" spans="1:44" ht="30" customHeight="1" thickBot="1" x14ac:dyDescent="0.3">
      <c r="A39" s="256" t="s">
        <v>19</v>
      </c>
      <c r="B39" s="158" t="s">
        <v>62</v>
      </c>
      <c r="C39" s="198">
        <v>1</v>
      </c>
      <c r="D39" s="198">
        <v>0</v>
      </c>
      <c r="E39" s="159" t="str">
        <f>B42</f>
        <v>Islande</v>
      </c>
      <c r="F39" s="160" t="str">
        <f t="shared" si="1"/>
        <v>Portugal</v>
      </c>
      <c r="G39" s="27"/>
      <c r="H39" s="23" t="s">
        <v>48</v>
      </c>
      <c r="I39" s="28" t="s">
        <v>1</v>
      </c>
      <c r="J39" s="28" t="s">
        <v>3</v>
      </c>
      <c r="K39" s="11" t="s">
        <v>4</v>
      </c>
      <c r="L39" s="11" t="s">
        <v>5</v>
      </c>
      <c r="M39" s="29" t="s">
        <v>13</v>
      </c>
      <c r="N39" s="5"/>
      <c r="O39" s="5"/>
      <c r="P39" s="5"/>
      <c r="Q39" s="5"/>
      <c r="R39" s="5"/>
      <c r="S39" s="5"/>
      <c r="T39" s="5"/>
      <c r="U39" s="231" t="str">
        <f>IF(S43&lt;&gt;S45,IF(S43&gt;S45,R43,R45),"")</f>
        <v/>
      </c>
      <c r="V39" s="233"/>
      <c r="W39" s="5"/>
      <c r="X39" s="5"/>
      <c r="Y39" s="5"/>
      <c r="Z39" s="6"/>
      <c r="AQ39" s="7"/>
    </row>
    <row r="40" spans="1:44" ht="30" customHeight="1" thickBot="1" x14ac:dyDescent="0.3">
      <c r="A40" s="257"/>
      <c r="B40" s="161" t="str">
        <f>B39</f>
        <v>Portugal</v>
      </c>
      <c r="C40" s="199">
        <v>0</v>
      </c>
      <c r="D40" s="199">
        <v>0</v>
      </c>
      <c r="E40" s="162" t="str">
        <f>B44</f>
        <v>Autriche</v>
      </c>
      <c r="F40" s="163" t="str">
        <f t="shared" si="1"/>
        <v>Égalité</v>
      </c>
      <c r="G40" s="27"/>
      <c r="H40" s="164">
        <v>1</v>
      </c>
      <c r="I40" s="165" t="str">
        <f>VLOOKUP(MAX(AP34:AP37),AP34:AQ37,2,FALSE)</f>
        <v>Portugal</v>
      </c>
      <c r="J40" s="166">
        <f>VLOOKUP(I40,AK34:AO37,5,FALSE)</f>
        <v>7</v>
      </c>
      <c r="K40" s="166">
        <f>VLOOKUP(I40,AK34:AL37,2,FALSE)</f>
        <v>2</v>
      </c>
      <c r="L40" s="166">
        <f>VLOOKUP(I40,AK34:AM37,3,FALSE)</f>
        <v>0</v>
      </c>
      <c r="M40" s="167">
        <f>VLOOKUP(I40,AK34:AN37,4,FALSE)</f>
        <v>2</v>
      </c>
      <c r="N40" s="5"/>
      <c r="O40" s="230" t="str">
        <f>I10</f>
        <v>France</v>
      </c>
      <c r="P40" s="232"/>
      <c r="Q40" s="5"/>
      <c r="R40" s="5"/>
      <c r="S40" s="5"/>
      <c r="T40" s="5"/>
      <c r="U40" s="234"/>
      <c r="V40" s="235"/>
      <c r="W40" s="5"/>
      <c r="X40" s="5"/>
      <c r="Y40" s="5"/>
      <c r="Z40" s="6"/>
      <c r="AQ40" s="7"/>
      <c r="AR40" s="211"/>
    </row>
    <row r="41" spans="1:44" ht="30" customHeight="1" thickBot="1" x14ac:dyDescent="0.3">
      <c r="A41" s="257"/>
      <c r="B41" s="161" t="str">
        <f>B39</f>
        <v>Portugal</v>
      </c>
      <c r="C41" s="199">
        <v>1</v>
      </c>
      <c r="D41" s="199">
        <v>0</v>
      </c>
      <c r="E41" s="162" t="s">
        <v>74</v>
      </c>
      <c r="F41" s="163" t="str">
        <f t="shared" si="1"/>
        <v>Portugal</v>
      </c>
      <c r="G41" s="27"/>
      <c r="H41" s="168">
        <v>2</v>
      </c>
      <c r="I41" s="169" t="str">
        <f>VLOOKUP(LARGE(AP34:AP37,2),AP34:AQ37,2,FALSE)</f>
        <v>Hongrie</v>
      </c>
      <c r="J41" s="170">
        <f>VLOOKUP(I41,AK34:AO37,5,FALSE)</f>
        <v>6</v>
      </c>
      <c r="K41" s="170">
        <f>VLOOKUP(I41,AK34:AL37,2,FALSE)</f>
        <v>2</v>
      </c>
      <c r="L41" s="170">
        <f>VLOOKUP(I41,AK34:AM37,3,FALSE)</f>
        <v>1</v>
      </c>
      <c r="M41" s="171">
        <f>VLOOKUP(I41,AK34:AN37,4,FALSE)</f>
        <v>1</v>
      </c>
      <c r="N41" s="5"/>
      <c r="O41" s="231"/>
      <c r="P41" s="233"/>
      <c r="Q41" s="5"/>
      <c r="R41" s="5"/>
      <c r="S41" s="5"/>
      <c r="T41" s="5"/>
      <c r="U41" s="5"/>
      <c r="V41" s="5"/>
      <c r="W41" s="5"/>
      <c r="X41" s="5"/>
      <c r="Y41" s="5"/>
      <c r="Z41" s="6"/>
      <c r="AQ41" s="7"/>
      <c r="AR41" s="211"/>
    </row>
    <row r="42" spans="1:44" ht="30" customHeight="1" thickBot="1" x14ac:dyDescent="0.3">
      <c r="A42" s="257"/>
      <c r="B42" s="161" t="s">
        <v>63</v>
      </c>
      <c r="C42" s="199">
        <v>4</v>
      </c>
      <c r="D42" s="199">
        <v>1</v>
      </c>
      <c r="E42" s="162" t="str">
        <f>B44</f>
        <v>Autriche</v>
      </c>
      <c r="F42" s="163" t="str">
        <f t="shared" si="1"/>
        <v>Islande</v>
      </c>
      <c r="G42" s="27"/>
      <c r="H42" s="163">
        <v>3</v>
      </c>
      <c r="I42" s="172" t="str">
        <f>VLOOKUP(LARGE(AP34:AP37,3),AP34:AQ37,2,FALSE)</f>
        <v>Islande</v>
      </c>
      <c r="J42" s="162">
        <f>VLOOKUP(I42,AK34:AO37,5,FALSE)</f>
        <v>3</v>
      </c>
      <c r="K42" s="162">
        <f>VLOOKUP(I42,AK34:AL37,2,FALSE)</f>
        <v>4</v>
      </c>
      <c r="L42" s="162">
        <f>VLOOKUP(I42,AK34:AM37,3,FALSE)</f>
        <v>3</v>
      </c>
      <c r="M42" s="173">
        <f>VLOOKUP(I42,AK34:AN37,4,FALSE)</f>
        <v>1</v>
      </c>
      <c r="N42" s="5"/>
      <c r="O42" s="231" t="str">
        <f>AM62</f>
        <v>Irlande</v>
      </c>
      <c r="P42" s="233"/>
      <c r="Q42" s="5"/>
      <c r="R42" s="5"/>
      <c r="S42" s="5"/>
      <c r="T42" s="5"/>
      <c r="U42" s="5"/>
      <c r="V42" s="5"/>
      <c r="W42" s="5"/>
      <c r="X42" s="5"/>
      <c r="Y42" s="5"/>
      <c r="Z42" s="6"/>
      <c r="AL42" s="218" t="s">
        <v>26</v>
      </c>
      <c r="AM42" s="221" t="s">
        <v>42</v>
      </c>
      <c r="AN42" s="224" t="s">
        <v>43</v>
      </c>
      <c r="AO42" s="224" t="s">
        <v>44</v>
      </c>
      <c r="AP42" s="213" t="s">
        <v>45</v>
      </c>
      <c r="AQ42" s="7"/>
      <c r="AR42" s="211"/>
    </row>
    <row r="43" spans="1:44" ht="30" customHeight="1" thickBot="1" x14ac:dyDescent="0.3">
      <c r="A43" s="257"/>
      <c r="B43" s="161" t="str">
        <f>B42</f>
        <v>Islande</v>
      </c>
      <c r="C43" s="199">
        <v>0</v>
      </c>
      <c r="D43" s="199">
        <v>1</v>
      </c>
      <c r="E43" s="162" t="str">
        <f>E41</f>
        <v>Hongrie</v>
      </c>
      <c r="F43" s="163" t="str">
        <f t="shared" si="1"/>
        <v>Hongrie</v>
      </c>
      <c r="G43" s="27"/>
      <c r="H43" s="174">
        <v>4</v>
      </c>
      <c r="I43" s="175" t="str">
        <f>VLOOKUP(LARGE(AP34:AP37,4),AP34:AQ37,2,FALSE)</f>
        <v>Autriche</v>
      </c>
      <c r="J43" s="176">
        <f>VLOOKUP(I43,AK34:AO37,5,FALSE)</f>
        <v>1</v>
      </c>
      <c r="K43" s="177">
        <f>VLOOKUP(I43,AK34:AL37,2,FALSE)</f>
        <v>1</v>
      </c>
      <c r="L43" s="177">
        <f>VLOOKUP(I43,AK34:AM37,3,FALSE)</f>
        <v>5</v>
      </c>
      <c r="M43" s="178">
        <f>VLOOKUP(I43,AK34:AN37,4,FALSE)</f>
        <v>-4</v>
      </c>
      <c r="N43" s="5"/>
      <c r="O43" s="234"/>
      <c r="P43" s="235"/>
      <c r="Q43" s="5"/>
      <c r="R43" s="230" t="str">
        <f>IF(P40&lt;&gt;P42,IF(P40&gt;P42,O40,O42),"")</f>
        <v/>
      </c>
      <c r="S43" s="232"/>
      <c r="T43" s="5"/>
      <c r="U43" s="5"/>
      <c r="V43" s="5"/>
      <c r="W43" s="5"/>
      <c r="X43" s="5"/>
      <c r="Y43" s="5"/>
      <c r="Z43" s="6"/>
      <c r="AL43" s="219"/>
      <c r="AM43" s="222"/>
      <c r="AN43" s="225"/>
      <c r="AO43" s="225"/>
      <c r="AP43" s="214"/>
      <c r="AQ43" s="7"/>
      <c r="AR43" s="211" t="s">
        <v>46</v>
      </c>
    </row>
    <row r="44" spans="1:44" ht="30" customHeight="1" thickBot="1" x14ac:dyDescent="0.3">
      <c r="A44" s="258"/>
      <c r="B44" s="179" t="s">
        <v>75</v>
      </c>
      <c r="C44" s="200">
        <v>0</v>
      </c>
      <c r="D44" s="200">
        <v>1</v>
      </c>
      <c r="E44" s="177" t="str">
        <f>E41</f>
        <v>Hongrie</v>
      </c>
      <c r="F44" s="174" t="str">
        <f t="shared" si="1"/>
        <v>Hongrie</v>
      </c>
      <c r="G44" s="27"/>
      <c r="H44" s="5"/>
      <c r="I44" s="5"/>
      <c r="J44" s="5"/>
      <c r="K44" s="5"/>
      <c r="L44" s="5"/>
      <c r="M44" s="5"/>
      <c r="N44" s="5"/>
      <c r="O44" s="5"/>
      <c r="P44" s="5"/>
      <c r="Q44" s="5"/>
      <c r="R44" s="231"/>
      <c r="S44" s="233"/>
      <c r="T44" s="5"/>
      <c r="U44" s="5"/>
      <c r="V44" s="5"/>
      <c r="W44" s="5"/>
      <c r="X44" s="5"/>
      <c r="Y44" s="5"/>
      <c r="Z44" s="6"/>
      <c r="AL44" s="220"/>
      <c r="AM44" s="223"/>
      <c r="AN44" s="226"/>
      <c r="AO44" s="226"/>
      <c r="AP44" s="215"/>
      <c r="AQ44" s="3"/>
      <c r="AR44" s="211" t="str">
        <f>IF(OR("A"=$AC$18,"A"=$AC$19,"A"=$AC$20,"A"=$AC$21),"A","")</f>
        <v/>
      </c>
    </row>
    <row r="45" spans="1:44" ht="30" customHeight="1" thickBot="1" x14ac:dyDescent="0.3">
      <c r="A45" s="259"/>
      <c r="B45" s="5"/>
      <c r="C45" s="5"/>
      <c r="D45" s="5"/>
      <c r="E45" s="5"/>
      <c r="F45" s="27"/>
      <c r="G45" s="27"/>
      <c r="H45" s="180"/>
      <c r="I45" s="5"/>
      <c r="J45" s="5"/>
      <c r="K45" s="5"/>
      <c r="L45" s="5"/>
      <c r="M45" s="27"/>
      <c r="N45" s="5"/>
      <c r="O45" s="5"/>
      <c r="P45" s="5"/>
      <c r="Q45" s="5"/>
      <c r="R45" s="231" t="str">
        <f>IF(P46&lt;&gt;P48,IF(P46&gt;P48,O46,O48),"")</f>
        <v/>
      </c>
      <c r="S45" s="233"/>
      <c r="T45" s="5"/>
      <c r="U45" s="5"/>
      <c r="V45" s="5"/>
      <c r="W45" s="5"/>
      <c r="X45" s="5"/>
      <c r="Y45" s="5"/>
      <c r="Z45" s="6"/>
      <c r="AL45" s="181" t="s">
        <v>27</v>
      </c>
      <c r="AM45" s="182" t="s">
        <v>16</v>
      </c>
      <c r="AN45" s="183" t="s">
        <v>17</v>
      </c>
      <c r="AO45" s="183" t="s">
        <v>12</v>
      </c>
      <c r="AP45" s="184" t="s">
        <v>15</v>
      </c>
      <c r="AQ45" s="7"/>
      <c r="AR45" s="211" t="str">
        <f>IF(OR("B"=$AC$18,"B"=$AC$19,"B"=$AC$20,"B"=$AC$21),"B","")</f>
        <v>B</v>
      </c>
    </row>
    <row r="46" spans="1:44" ht="30" customHeight="1" thickBot="1" x14ac:dyDescent="0.3">
      <c r="A46" s="259"/>
      <c r="B46" s="208" t="s">
        <v>51</v>
      </c>
      <c r="C46" s="209"/>
      <c r="D46" s="209"/>
      <c r="E46" s="209"/>
      <c r="F46" s="210"/>
      <c r="G46" s="27"/>
      <c r="H46" s="27"/>
      <c r="I46" s="5"/>
      <c r="J46" s="5"/>
      <c r="K46" s="5"/>
      <c r="L46" s="5"/>
      <c r="M46" s="5"/>
      <c r="N46" s="5"/>
      <c r="O46" s="230" t="str">
        <f>I17</f>
        <v>Slovaquie</v>
      </c>
      <c r="P46" s="232"/>
      <c r="Q46" s="5"/>
      <c r="R46" s="234"/>
      <c r="S46" s="235"/>
      <c r="T46" s="5"/>
      <c r="U46" s="5"/>
      <c r="V46" s="5"/>
      <c r="W46" s="5"/>
      <c r="X46" s="5"/>
      <c r="Y46" s="5"/>
      <c r="Z46" s="6"/>
      <c r="AL46" s="185" t="s">
        <v>28</v>
      </c>
      <c r="AM46" s="186" t="s">
        <v>16</v>
      </c>
      <c r="AN46" s="187" t="s">
        <v>12</v>
      </c>
      <c r="AO46" s="187" t="s">
        <v>15</v>
      </c>
      <c r="AP46" s="188" t="s">
        <v>18</v>
      </c>
      <c r="AQ46" s="7"/>
      <c r="AR46" s="211" t="str">
        <f>IF(OR("C"=$AC$18,"C"=$AC$19,"C"=$AC$20,"C"=$AC$21),"C","")</f>
        <v/>
      </c>
    </row>
    <row r="47" spans="1:44" ht="30" customHeight="1" x14ac:dyDescent="0.25">
      <c r="A47" s="259"/>
      <c r="B47" s="5"/>
      <c r="C47" s="5"/>
      <c r="D47" s="5"/>
      <c r="E47" s="5"/>
      <c r="F47" s="27"/>
      <c r="G47" s="27"/>
      <c r="H47" s="27"/>
      <c r="I47" s="5"/>
      <c r="J47" s="5"/>
      <c r="K47" s="5"/>
      <c r="L47" s="5"/>
      <c r="M47" s="5"/>
      <c r="N47" s="5"/>
      <c r="O47" s="231"/>
      <c r="P47" s="233"/>
      <c r="Q47" s="5"/>
      <c r="R47" s="5"/>
      <c r="S47" s="5"/>
      <c r="T47" s="5"/>
      <c r="U47" s="5"/>
      <c r="V47" s="5"/>
      <c r="W47" s="5"/>
      <c r="X47" s="5"/>
      <c r="Y47" s="5"/>
      <c r="Z47" s="6"/>
      <c r="AL47" s="189" t="s">
        <v>29</v>
      </c>
      <c r="AM47" s="190" t="s">
        <v>16</v>
      </c>
      <c r="AN47" s="191" t="s">
        <v>12</v>
      </c>
      <c r="AO47" s="191" t="s">
        <v>15</v>
      </c>
      <c r="AP47" s="192" t="s">
        <v>19</v>
      </c>
      <c r="AQ47" s="7"/>
      <c r="AR47" s="211" t="str">
        <f>IF(OR("D"=$AC$18,"D"=$AC$19,"D"=$AC$20,"D"=$AC$21),"D","")</f>
        <v>D</v>
      </c>
    </row>
    <row r="48" spans="1:44" ht="30" customHeight="1" x14ac:dyDescent="0.25">
      <c r="A48" s="259"/>
      <c r="B48" s="5"/>
      <c r="C48" s="5"/>
      <c r="D48" s="5"/>
      <c r="E48" s="5"/>
      <c r="F48" s="27"/>
      <c r="G48" s="27"/>
      <c r="H48" s="27"/>
      <c r="I48" s="5"/>
      <c r="J48" s="5"/>
      <c r="K48" s="5"/>
      <c r="L48" s="5"/>
      <c r="M48" s="5"/>
      <c r="N48" s="5"/>
      <c r="O48" s="231" t="str">
        <f>I41</f>
        <v>Hongrie</v>
      </c>
      <c r="P48" s="233"/>
      <c r="Q48" s="5"/>
      <c r="R48" s="5"/>
      <c r="S48" s="5"/>
      <c r="T48" s="5"/>
      <c r="U48" s="5"/>
      <c r="V48" s="5"/>
      <c r="W48" s="5"/>
      <c r="X48" s="5"/>
      <c r="Y48" s="5"/>
      <c r="Z48" s="6"/>
      <c r="AL48" s="189" t="s">
        <v>30</v>
      </c>
      <c r="AM48" s="186" t="s">
        <v>17</v>
      </c>
      <c r="AN48" s="187" t="s">
        <v>12</v>
      </c>
      <c r="AO48" s="193" t="s">
        <v>15</v>
      </c>
      <c r="AP48" s="194" t="s">
        <v>18</v>
      </c>
      <c r="AQ48" s="7"/>
      <c r="AR48" s="211" t="str">
        <f>IF(OR("E"=$AC$18,"E"=$AC$19,"E"=$AC$20,"E"=$AC$21),"E","")</f>
        <v>E</v>
      </c>
    </row>
    <row r="49" spans="1:44" ht="30" customHeight="1" thickBot="1" x14ac:dyDescent="0.3">
      <c r="A49" s="259"/>
      <c r="B49" s="5"/>
      <c r="C49" s="5"/>
      <c r="D49" s="5"/>
      <c r="E49" s="5"/>
      <c r="F49" s="27"/>
      <c r="G49" s="27"/>
      <c r="H49" s="27"/>
      <c r="I49" s="5"/>
      <c r="J49" s="27"/>
      <c r="K49" s="5"/>
      <c r="L49" s="5"/>
      <c r="M49" s="5"/>
      <c r="N49" s="5"/>
      <c r="O49" s="234"/>
      <c r="P49" s="235"/>
      <c r="Q49" s="5"/>
      <c r="R49" s="206"/>
      <c r="S49" s="207" t="s">
        <v>50</v>
      </c>
      <c r="T49" s="206"/>
      <c r="U49" s="206"/>
      <c r="V49" s="206"/>
      <c r="W49" s="5"/>
      <c r="X49" s="5"/>
      <c r="Y49" s="5"/>
      <c r="Z49" s="6"/>
      <c r="AL49" s="189" t="s">
        <v>31</v>
      </c>
      <c r="AM49" s="186" t="s">
        <v>17</v>
      </c>
      <c r="AN49" s="187" t="s">
        <v>12</v>
      </c>
      <c r="AO49" s="187" t="s">
        <v>15</v>
      </c>
      <c r="AP49" s="194" t="s">
        <v>19</v>
      </c>
      <c r="AQ49" s="7"/>
      <c r="AR49" s="211" t="str">
        <f>IF(OR("F"=$AC$18,"F"=$AC$19,"F"=$AC$20,"F"=$AC$21),"F","")</f>
        <v>F</v>
      </c>
    </row>
    <row r="50" spans="1:44" ht="30" customHeight="1" thickBot="1" x14ac:dyDescent="0.3">
      <c r="A50" s="260"/>
      <c r="B50" s="195"/>
      <c r="C50" s="195"/>
      <c r="D50" s="195"/>
      <c r="E50" s="195"/>
      <c r="F50" s="196"/>
      <c r="G50" s="196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7"/>
      <c r="AL50" s="185" t="s">
        <v>32</v>
      </c>
      <c r="AM50" s="186" t="s">
        <v>18</v>
      </c>
      <c r="AN50" s="187" t="s">
        <v>12</v>
      </c>
      <c r="AO50" s="187" t="s">
        <v>15</v>
      </c>
      <c r="AP50" s="194" t="s">
        <v>19</v>
      </c>
      <c r="AQ50" s="3"/>
      <c r="AR50" s="211"/>
    </row>
    <row r="51" spans="1:44" x14ac:dyDescent="0.25">
      <c r="AL51" s="185" t="s">
        <v>33</v>
      </c>
      <c r="AM51" s="186" t="s">
        <v>16</v>
      </c>
      <c r="AN51" s="187" t="s">
        <v>17</v>
      </c>
      <c r="AO51" s="187" t="s">
        <v>12</v>
      </c>
      <c r="AP51" s="194" t="s">
        <v>18</v>
      </c>
      <c r="AQ51" s="3"/>
      <c r="AR51" s="211" t="s">
        <v>2</v>
      </c>
    </row>
    <row r="52" spans="1:44" x14ac:dyDescent="0.25">
      <c r="AL52" s="185" t="s">
        <v>34</v>
      </c>
      <c r="AM52" s="186" t="s">
        <v>16</v>
      </c>
      <c r="AN52" s="187" t="s">
        <v>17</v>
      </c>
      <c r="AO52" s="187" t="s">
        <v>12</v>
      </c>
      <c r="AP52" s="188" t="s">
        <v>19</v>
      </c>
      <c r="AQ52" s="3"/>
      <c r="AR52" s="212" t="str">
        <f>CONCATENATE(AR44,AR45,AR46,AR47,AR48,AR49)</f>
        <v>BDEF</v>
      </c>
    </row>
    <row r="53" spans="1:44" x14ac:dyDescent="0.25">
      <c r="AL53" s="189" t="s">
        <v>35</v>
      </c>
      <c r="AM53" s="190" t="s">
        <v>16</v>
      </c>
      <c r="AN53" s="191" t="s">
        <v>12</v>
      </c>
      <c r="AO53" s="191" t="s">
        <v>19</v>
      </c>
      <c r="AP53" s="192" t="s">
        <v>18</v>
      </c>
    </row>
    <row r="54" spans="1:44" x14ac:dyDescent="0.25">
      <c r="AL54" s="189" t="s">
        <v>36</v>
      </c>
      <c r="AM54" s="190" t="s">
        <v>17</v>
      </c>
      <c r="AN54" s="191" t="s">
        <v>12</v>
      </c>
      <c r="AO54" s="191" t="s">
        <v>19</v>
      </c>
      <c r="AP54" s="192" t="s">
        <v>18</v>
      </c>
    </row>
    <row r="55" spans="1:44" x14ac:dyDescent="0.25">
      <c r="AL55" s="189" t="s">
        <v>38</v>
      </c>
      <c r="AM55" s="190" t="s">
        <v>16</v>
      </c>
      <c r="AN55" s="191" t="s">
        <v>17</v>
      </c>
      <c r="AO55" s="191" t="s">
        <v>15</v>
      </c>
      <c r="AP55" s="192" t="s">
        <v>18</v>
      </c>
    </row>
    <row r="56" spans="1:44" x14ac:dyDescent="0.25">
      <c r="AL56" s="201" t="s">
        <v>37</v>
      </c>
      <c r="AM56" s="202" t="s">
        <v>16</v>
      </c>
      <c r="AN56" s="20" t="s">
        <v>17</v>
      </c>
      <c r="AO56" s="20" t="s">
        <v>15</v>
      </c>
      <c r="AP56" s="22" t="s">
        <v>19</v>
      </c>
    </row>
    <row r="57" spans="1:44" x14ac:dyDescent="0.25">
      <c r="AL57" s="201" t="s">
        <v>39</v>
      </c>
      <c r="AM57" s="202" t="s">
        <v>18</v>
      </c>
      <c r="AN57" s="20" t="s">
        <v>16</v>
      </c>
      <c r="AO57" s="20" t="s">
        <v>15</v>
      </c>
      <c r="AP57" s="22" t="s">
        <v>19</v>
      </c>
    </row>
    <row r="58" spans="1:44" x14ac:dyDescent="0.25">
      <c r="AL58" s="201" t="s">
        <v>40</v>
      </c>
      <c r="AM58" s="202" t="s">
        <v>18</v>
      </c>
      <c r="AN58" s="20" t="s">
        <v>17</v>
      </c>
      <c r="AO58" s="20" t="s">
        <v>15</v>
      </c>
      <c r="AP58" s="22" t="s">
        <v>19</v>
      </c>
    </row>
    <row r="59" spans="1:44" ht="15" thickBot="1" x14ac:dyDescent="0.3">
      <c r="AL59" s="203" t="s">
        <v>41</v>
      </c>
      <c r="AM59" s="204" t="s">
        <v>16</v>
      </c>
      <c r="AN59" s="38" t="s">
        <v>17</v>
      </c>
      <c r="AO59" s="38" t="s">
        <v>19</v>
      </c>
      <c r="AP59" s="40" t="s">
        <v>18</v>
      </c>
    </row>
    <row r="60" spans="1:44" ht="15" thickBot="1" x14ac:dyDescent="0.3"/>
    <row r="61" spans="1:44" x14ac:dyDescent="0.25">
      <c r="AK61" s="216" t="s">
        <v>2</v>
      </c>
      <c r="AL61" s="216" t="str">
        <f>AR52</f>
        <v>BDEF</v>
      </c>
      <c r="AM61" s="15" t="str">
        <f>VLOOKUP(AL61,AL45:AP59,2,FALSE)</f>
        <v>E</v>
      </c>
      <c r="AN61" s="16" t="str">
        <f>VLOOKUP(AL61,AL45:AP59,3,FALSE)</f>
        <v>D</v>
      </c>
      <c r="AO61" s="16" t="str">
        <f>VLOOKUP(AL61,AL45:AP59,4,FALSE)</f>
        <v>B</v>
      </c>
      <c r="AP61" s="17" t="str">
        <f>VLOOKUP(AL61,AL45:AP59,5,FALSE)</f>
        <v>F</v>
      </c>
    </row>
    <row r="62" spans="1:44" ht="15" thickBot="1" x14ac:dyDescent="0.3">
      <c r="AK62" s="217"/>
      <c r="AL62" s="217"/>
      <c r="AM62" s="37" t="str">
        <f>VLOOKUP(AM61,$AB$5:$AC$10,2,FALSE)</f>
        <v>Irlande</v>
      </c>
      <c r="AN62" s="38" t="str">
        <f t="shared" ref="AN62:AO62" si="16">VLOOKUP(AN61,$AB$5:$AC$10,2,FALSE)</f>
        <v>Turquie</v>
      </c>
      <c r="AO62" s="38" t="str">
        <f t="shared" si="16"/>
        <v>P. Galles</v>
      </c>
      <c r="AP62" s="40" t="str">
        <f>VLOOKUP(AP61,$AB$5:$AC$10,2,FALSE)</f>
        <v>Islande</v>
      </c>
    </row>
  </sheetData>
  <mergeCells count="82">
    <mergeCell ref="S43:S44"/>
    <mergeCell ref="U37:U38"/>
    <mergeCell ref="S45:S46"/>
    <mergeCell ref="O46:O47"/>
    <mergeCell ref="P46:P47"/>
    <mergeCell ref="R45:R46"/>
    <mergeCell ref="R43:R44"/>
    <mergeCell ref="O48:O49"/>
    <mergeCell ref="P48:P49"/>
    <mergeCell ref="A15:A20"/>
    <mergeCell ref="A27:A32"/>
    <mergeCell ref="A39:A44"/>
    <mergeCell ref="A45:A50"/>
    <mergeCell ref="O42:O43"/>
    <mergeCell ref="P42:P43"/>
    <mergeCell ref="A33:A38"/>
    <mergeCell ref="A21:A26"/>
    <mergeCell ref="O30:O31"/>
    <mergeCell ref="P30:P31"/>
    <mergeCell ref="V37:V38"/>
    <mergeCell ref="U39:U40"/>
    <mergeCell ref="V39:V40"/>
    <mergeCell ref="O40:O41"/>
    <mergeCell ref="P40:P41"/>
    <mergeCell ref="R33:R34"/>
    <mergeCell ref="S33:S34"/>
    <mergeCell ref="O34:O35"/>
    <mergeCell ref="P34:P35"/>
    <mergeCell ref="O36:O37"/>
    <mergeCell ref="P36:P37"/>
    <mergeCell ref="X25:X26"/>
    <mergeCell ref="Y25:Y26"/>
    <mergeCell ref="X27:X28"/>
    <mergeCell ref="Y27:Y28"/>
    <mergeCell ref="O28:O29"/>
    <mergeCell ref="P28:P29"/>
    <mergeCell ref="R31:R32"/>
    <mergeCell ref="S31:S32"/>
    <mergeCell ref="O18:O19"/>
    <mergeCell ref="P18:P19"/>
    <mergeCell ref="R19:R20"/>
    <mergeCell ref="S19:S20"/>
    <mergeCell ref="R21:R22"/>
    <mergeCell ref="S21:S22"/>
    <mergeCell ref="O22:O23"/>
    <mergeCell ref="P22:P23"/>
    <mergeCell ref="O24:O25"/>
    <mergeCell ref="P24:P25"/>
    <mergeCell ref="R9:R10"/>
    <mergeCell ref="S9:S10"/>
    <mergeCell ref="O10:O11"/>
    <mergeCell ref="P10:P11"/>
    <mergeCell ref="U15:U16"/>
    <mergeCell ref="O16:O17"/>
    <mergeCell ref="P16:P17"/>
    <mergeCell ref="AB3:AG3"/>
    <mergeCell ref="AB16:AG16"/>
    <mergeCell ref="U13:U14"/>
    <mergeCell ref="V13:V14"/>
    <mergeCell ref="S7:S8"/>
    <mergeCell ref="V15:V16"/>
    <mergeCell ref="R7:R8"/>
    <mergeCell ref="R1:S2"/>
    <mergeCell ref="O1:P2"/>
    <mergeCell ref="U1:V2"/>
    <mergeCell ref="X1:Y2"/>
    <mergeCell ref="A9:A14"/>
    <mergeCell ref="O4:O5"/>
    <mergeCell ref="P4:P5"/>
    <mergeCell ref="O6:O7"/>
    <mergeCell ref="P6:P7"/>
    <mergeCell ref="O12:O13"/>
    <mergeCell ref="P12:P13"/>
    <mergeCell ref="B8:E8"/>
    <mergeCell ref="H8:M8"/>
    <mergeCell ref="AP42:AP44"/>
    <mergeCell ref="AL61:AL62"/>
    <mergeCell ref="AK61:AK62"/>
    <mergeCell ref="AL42:AL44"/>
    <mergeCell ref="AM42:AM44"/>
    <mergeCell ref="AN42:AN44"/>
    <mergeCell ref="AO42:AO44"/>
  </mergeCells>
  <conditionalFormatting sqref="O10:O13 O16:O19 O22:O25 O28:O31 O34:O37 O40:O43 O46:O49 U13:U16 X25:X28 U37:U40 R31:R34 R19:R22 R7:R10">
    <cfRule type="expression" dxfId="17" priority="13">
      <formula>OR(O7=$B$39,O7=$B$42,O7=$B$44,O7=$E$41)</formula>
    </cfRule>
    <cfRule type="expression" dxfId="16" priority="14">
      <formula>OR(O7=$B$33,O7=$B$36,O7=$B$38,O7=$E$35)</formula>
    </cfRule>
    <cfRule type="expression" dxfId="15" priority="19">
      <formula>OR(O7=$B$27,O7=$B$30,O7=$B$32,O7=$E$29)</formula>
    </cfRule>
    <cfRule type="expression" dxfId="14" priority="20">
      <formula>OR(O7=$B$21,O7=$B$24,O7=$B$26,O7=$E$23)</formula>
    </cfRule>
    <cfRule type="expression" dxfId="13" priority="21">
      <formula>OR(O7=$B$15,O7=$B$18,O7=$B$20,O7=$E$17)</formula>
    </cfRule>
    <cfRule type="expression" dxfId="12" priority="23">
      <formula>OR(O7=$B$9,O7=$B$12,O7=$B$14,O7=$E$11)</formula>
    </cfRule>
  </conditionalFormatting>
  <conditionalFormatting sqref="O4:O7">
    <cfRule type="expression" dxfId="11" priority="1">
      <formula>OR(O4=$B$39,O4=$B$42,O4=$B$44,O4=$E$41)</formula>
    </cfRule>
    <cfRule type="expression" dxfId="10" priority="2">
      <formula>OR(O4=$B$33,O4=$B$36,O4=$B$38,O4=$E$35)</formula>
    </cfRule>
    <cfRule type="expression" dxfId="9" priority="3">
      <formula>OR(O4=$B$27,O4=$B$30,O4=$B$32,O4=$E$29)</formula>
    </cfRule>
    <cfRule type="expression" dxfId="8" priority="4">
      <formula>OR(O4=$B$21,O4=$B$24,O4=$B$26,O4=$E$23)</formula>
    </cfRule>
    <cfRule type="expression" dxfId="7" priority="5">
      <formula>OR(O4=$B$15,O4=$B$18,O4=$B$20,O4=$E$17)</formula>
    </cfRule>
    <cfRule type="expression" dxfId="6" priority="6">
      <formula>OR(O4=$B$9,O4=$B$12,O4=$B$14,O4=$E$11)</formula>
    </cfRule>
  </conditionalFormatting>
  <conditionalFormatting sqref="R43:R46">
    <cfRule type="expression" dxfId="5" priority="7">
      <formula>OR(R43=$B$39,R43=$B$42,R43=$B$44,R43=$E$41)</formula>
    </cfRule>
    <cfRule type="expression" dxfId="4" priority="8">
      <formula>OR(R43=$B$33,R43=$B$36,R43=$B$38,R43=$E$35)</formula>
    </cfRule>
    <cfRule type="expression" dxfId="3" priority="9">
      <formula>OR(R43=$B$27,R43=$B$30,R43=$B$32,R43=$E$29)</formula>
    </cfRule>
    <cfRule type="expression" dxfId="2" priority="10">
      <formula>OR(R43=$B$21,R43=$B$24,R43=$B$26,R43=$E$23)</formula>
    </cfRule>
    <cfRule type="expression" dxfId="1" priority="11">
      <formula>OR(R43=$B$15,R43=$B$18,R43=$B$20,R43=$E$17)</formula>
    </cfRule>
    <cfRule type="expression" dxfId="0" priority="12">
      <formula>OR(R43=$B$9,R43=$B$12,R43=$B$14,R43=$E$11)</formula>
    </cfRule>
  </conditionalFormatting>
  <hyperlinks>
    <hyperlink ref="S49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Euro 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</dc:creator>
  <cp:lastModifiedBy>Sam</cp:lastModifiedBy>
  <dcterms:created xsi:type="dcterms:W3CDTF">2014-11-30T16:59:13Z</dcterms:created>
  <dcterms:modified xsi:type="dcterms:W3CDTF">2015-12-12T22:36:20Z</dcterms:modified>
</cp:coreProperties>
</file>